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<sst xmlns="http://schemas.openxmlformats.org/spreadsheetml/2006/main" count="159" uniqueCount="113">
  <si>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</si>
  <si>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</si>
  <si>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</si>
  <si>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</si>
  <si>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</si>
  <si>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</si>
  <si>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</si>
  <si>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</si>
  <si>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</si>
  <si>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</si>
  <si>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</si>
  <si>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</si>
  <si>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</si>
  <si>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</si>
  <si>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</si>
  <si>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</si>
  <si>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</si>
  <si>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</si>
  <si>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</si>
  <si>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</si>
  <si>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</si>
  <si>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</si>
  <si>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</si>
  <si>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</si>
  <si>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</si>
  <si>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</si>
  <si>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</si>
  <si>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</si>
  <si>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</si>
  <si>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</si>
  <si>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</si>
  <si>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</si>
  <si>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</si>
  <si>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</si>
  <si>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</si>
  <si>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</si>
  <si>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</si>
  <si>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</si>
  <si>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</si>
  <si>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</si>
  <si>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</si>
  <si>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</si>
  <si>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</si>
  <si>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</si>
  <si>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</si>
  <si>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</si>
  <si>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</si>
  <si>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</si>
  <si>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</si>
  <si>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</si>
  <si>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</si>
  <si>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</si>
  <si>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</si>
  <si>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</si>
  <si>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</si>
  <si>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</si>
  <si>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</si>
  <si>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</si>
  <si>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</si>
  <si>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</si>
  <si>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</si>
  <si>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</si>
  <si>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</si>
  <si>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</si>
  <si>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</si>
  <si>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</si>
  <si>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</si>
  <si>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</si>
  <si>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</si>
  <si>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</si>
  <si>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</si>
  <si>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</si>
  <si>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</si>
  <si>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</si>
  <si>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</si>
  <si>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</si>
  <si>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</si>
  <si>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</si>
  <si>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</si>
  <si>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</si>
  <si>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</si>
  <si>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</si>
  <si>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</si>
  <si>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</si>
  <si>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</si>
  <si>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</si>
  <si>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</si>
  <si>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</si>
  <si>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</si>
  <si>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</si>
  <si>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</si>
  <si>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</si>
  <si>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</si>
  <si>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</si>
  <si>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</si>
  <si>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</si>
  <si>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</si>
  <si>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</si>
  <si>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</si>
  <si>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</si>
  <si>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</si>
  <si>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</si>
  <si>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</si>
  <si>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</si>
  <si>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</si>
  <si>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</si>
  <si>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</si>
  <si>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</si>
  <si>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</si>
  <si>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9 місяців, тис.грн.</t>
  </si>
  <si>
    <t>Відсоток виконання плану 9 місяців</t>
  </si>
  <si>
    <t>Відхилення від плану 9 місяців, тис.грн.</t>
  </si>
  <si>
    <t>Аналіз використання коштів міського бюджету за 2014 рік станом на 16.09.2014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</si>
</sst>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12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29313.80000000001</c:v>
                </c:pt>
                <c:pt idx="1">
                  <c:v>25149.800000000003</c:v>
                </c:pt>
                <c:pt idx="2">
                  <c:v>1098.4</c:v>
                </c:pt>
                <c:pt idx="3">
                  <c:v>3065.600000000007</c:v>
                </c:pt>
              </c:numCache>
            </c:numRef>
          </c:val>
          <c:shape val="box"/>
        </c:ser>
        <c:shape val="box"/>
        <c:axId val="66304661"/>
        <c:axId val="59871038"/>
      </c:bar3DChart>
      <c:catAx>
        <c:axId val="66304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871038"/>
        <c:crosses val="autoZero"/>
        <c:auto val="1"/>
        <c:lblOffset val="100"/>
        <c:tickLblSkip val="1"/>
        <c:noMultiLvlLbl val="0"/>
      </c:catAx>
      <c:valAx>
        <c:axId val="598710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046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274405.7</c:v>
                </c:pt>
                <c:pt idx="1">
                  <c:v>215280.1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250.10000000000002</c:v>
                </c:pt>
                <c:pt idx="6">
                  <c:v>2281.700000000003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187653.51000000004</c:v>
                </c:pt>
                <c:pt idx="1">
                  <c:v>154939.89999999994</c:v>
                </c:pt>
                <c:pt idx="2">
                  <c:v>11.8</c:v>
                </c:pt>
                <c:pt idx="3">
                  <c:v>10235.700000000003</c:v>
                </c:pt>
                <c:pt idx="4">
                  <c:v>21244.7</c:v>
                </c:pt>
                <c:pt idx="5">
                  <c:v>186.8</c:v>
                </c:pt>
                <c:pt idx="6">
                  <c:v>1034.6100000001018</c:v>
                </c:pt>
              </c:numCache>
            </c:numRef>
          </c:val>
          <c:shape val="box"/>
        </c:ser>
        <c:shape val="box"/>
        <c:axId val="1968431"/>
        <c:axId val="17715880"/>
      </c:bar3DChart>
      <c:catAx>
        <c:axId val="1968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715880"/>
        <c:crosses val="autoZero"/>
        <c:auto val="1"/>
        <c:lblOffset val="100"/>
        <c:tickLblSkip val="1"/>
        <c:noMultiLvlLbl val="0"/>
      </c:catAx>
      <c:valAx>
        <c:axId val="17715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84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1384.5</c:v>
                </c:pt>
                <c:pt idx="6">
                  <c:v>12970.900000000016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129603.30000000002</c:v>
                </c:pt>
                <c:pt idx="1">
                  <c:v>105100.09999999999</c:v>
                </c:pt>
                <c:pt idx="2">
                  <c:v>2823.5</c:v>
                </c:pt>
                <c:pt idx="3">
                  <c:v>1880.8999999999999</c:v>
                </c:pt>
                <c:pt idx="4">
                  <c:v>10475.199999999997</c:v>
                </c:pt>
                <c:pt idx="5">
                  <c:v>941.8000000000001</c:v>
                </c:pt>
                <c:pt idx="6">
                  <c:v>8381.800000000028</c:v>
                </c:pt>
              </c:numCache>
            </c:numRef>
          </c:val>
          <c:shape val="box"/>
        </c:ser>
        <c:shape val="box"/>
        <c:axId val="25225193"/>
        <c:axId val="25700146"/>
      </c:bar3DChart>
      <c:catAx>
        <c:axId val="25225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700146"/>
        <c:crosses val="autoZero"/>
        <c:auto val="1"/>
        <c:lblOffset val="100"/>
        <c:tickLblSkip val="1"/>
        <c:noMultiLvlLbl val="0"/>
      </c:catAx>
      <c:valAx>
        <c:axId val="257001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251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37478.3</c:v>
                </c:pt>
                <c:pt idx="1">
                  <c:v>28215</c:v>
                </c:pt>
                <c:pt idx="2">
                  <c:v>1733.2</c:v>
                </c:pt>
                <c:pt idx="3">
                  <c:v>715.3</c:v>
                </c:pt>
                <c:pt idx="4">
                  <c:v>25.200000000000003</c:v>
                </c:pt>
                <c:pt idx="5">
                  <c:v>6789.600000000003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24818.599999999995</c:v>
                </c:pt>
                <c:pt idx="1">
                  <c:v>18862.2</c:v>
                </c:pt>
                <c:pt idx="2">
                  <c:v>705.1999999999998</c:v>
                </c:pt>
                <c:pt idx="3">
                  <c:v>297.09999999999997</c:v>
                </c:pt>
                <c:pt idx="4">
                  <c:v>18</c:v>
                </c:pt>
                <c:pt idx="5">
                  <c:v>4936.099999999994</c:v>
                </c:pt>
              </c:numCache>
            </c:numRef>
          </c:val>
          <c:shape val="box"/>
        </c:ser>
        <c:shape val="box"/>
        <c:axId val="29974723"/>
        <c:axId val="1337052"/>
      </c:bar3DChart>
      <c:catAx>
        <c:axId val="29974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37052"/>
        <c:crosses val="autoZero"/>
        <c:auto val="1"/>
        <c:lblOffset val="100"/>
        <c:tickLblSkip val="1"/>
        <c:noMultiLvlLbl val="0"/>
      </c:catAx>
      <c:valAx>
        <c:axId val="13370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747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531.1</c:v>
                </c:pt>
                <c:pt idx="5">
                  <c:v>3782.2999999999984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7688.699999999999</c:v>
                </c:pt>
                <c:pt idx="1">
                  <c:v>5006.099999999999</c:v>
                </c:pt>
                <c:pt idx="3">
                  <c:v>108.70000000000002</c:v>
                </c:pt>
                <c:pt idx="4">
                  <c:v>235.89999999999992</c:v>
                </c:pt>
                <c:pt idx="5">
                  <c:v>2337.9999999999995</c:v>
                </c:pt>
              </c:numCache>
            </c:numRef>
          </c:val>
          <c:shape val="box"/>
        </c:ser>
        <c:shape val="box"/>
        <c:axId val="12033469"/>
        <c:axId val="41192358"/>
      </c:bar3DChart>
      <c:catAx>
        <c:axId val="12033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192358"/>
        <c:crosses val="autoZero"/>
        <c:auto val="1"/>
        <c:lblOffset val="100"/>
        <c:tickLblSkip val="2"/>
        <c:noMultiLvlLbl val="0"/>
      </c:catAx>
      <c:valAx>
        <c:axId val="411923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334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3018.8</c:v>
                </c:pt>
                <c:pt idx="1">
                  <c:v>1709.9</c:v>
                </c:pt>
                <c:pt idx="2">
                  <c:v>181.4</c:v>
                </c:pt>
                <c:pt idx="3">
                  <c:v>287.9</c:v>
                </c:pt>
                <c:pt idx="4">
                  <c:v>728.3000000000001</c:v>
                </c:pt>
                <c:pt idx="5">
                  <c:v>111.30000000000004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2445.8000000000006</c:v>
                </c:pt>
                <c:pt idx="1">
                  <c:v>1319.5000000000002</c:v>
                </c:pt>
                <c:pt idx="2">
                  <c:v>181.4</c:v>
                </c:pt>
                <c:pt idx="3">
                  <c:v>127.4</c:v>
                </c:pt>
                <c:pt idx="4">
                  <c:v>728.3000000000001</c:v>
                </c:pt>
                <c:pt idx="5">
                  <c:v>89.20000000000036</c:v>
                </c:pt>
              </c:numCache>
            </c:numRef>
          </c:val>
          <c:shape val="box"/>
        </c:ser>
        <c:shape val="box"/>
        <c:axId val="35186903"/>
        <c:axId val="48246672"/>
      </c:bar3DChart>
      <c:catAx>
        <c:axId val="35186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246672"/>
        <c:crosses val="autoZero"/>
        <c:auto val="1"/>
        <c:lblOffset val="100"/>
        <c:tickLblSkip val="1"/>
        <c:noMultiLvlLbl val="0"/>
      </c:catAx>
      <c:valAx>
        <c:axId val="48246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869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43252.4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22520.800000000003</c:v>
                </c:pt>
              </c:numCache>
            </c:numRef>
          </c:val>
          <c:shape val="box"/>
        </c:ser>
        <c:shape val="box"/>
        <c:axId val="31566865"/>
        <c:axId val="15666330"/>
      </c:bar3DChart>
      <c:catAx>
        <c:axId val="31566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666330"/>
        <c:crosses val="autoZero"/>
        <c:auto val="1"/>
        <c:lblOffset val="100"/>
        <c:tickLblSkip val="1"/>
        <c:noMultiLvlLbl val="0"/>
      </c:catAx>
      <c:valAx>
        <c:axId val="156663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668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274405.7</c:v>
                </c:pt>
                <c:pt idx="1">
                  <c:v>177767.7</c:v>
                </c:pt>
                <c:pt idx="2">
                  <c:v>37478.3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43252.4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187653.51000000004</c:v>
                </c:pt>
                <c:pt idx="1">
                  <c:v>129603.30000000002</c:v>
                </c:pt>
                <c:pt idx="2">
                  <c:v>24818.599999999995</c:v>
                </c:pt>
                <c:pt idx="3">
                  <c:v>7688.699999999999</c:v>
                </c:pt>
                <c:pt idx="4">
                  <c:v>2445.8000000000006</c:v>
                </c:pt>
                <c:pt idx="5">
                  <c:v>29313.80000000001</c:v>
                </c:pt>
                <c:pt idx="6">
                  <c:v>22520.800000000003</c:v>
                </c:pt>
              </c:numCache>
            </c:numRef>
          </c:val>
          <c:shape val="box"/>
        </c:ser>
        <c:shape val="box"/>
        <c:axId val="6779243"/>
        <c:axId val="61013188"/>
      </c:bar3DChart>
      <c:catAx>
        <c:axId val="6779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013188"/>
        <c:crosses val="autoZero"/>
        <c:auto val="1"/>
        <c:lblOffset val="100"/>
        <c:tickLblSkip val="1"/>
        <c:noMultiLvlLbl val="0"/>
      </c:catAx>
      <c:valAx>
        <c:axId val="61013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792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430367.6</c:v>
                </c:pt>
                <c:pt idx="1">
                  <c:v>64580.7</c:v>
                </c:pt>
                <c:pt idx="2">
                  <c:v>20516.600000000002</c:v>
                </c:pt>
                <c:pt idx="3">
                  <c:v>8099.5</c:v>
                </c:pt>
                <c:pt idx="4">
                  <c:v>7943.900000000001</c:v>
                </c:pt>
                <c:pt idx="5">
                  <c:v>92651.4000000001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314467.8999999999</c:v>
                </c:pt>
                <c:pt idx="1">
                  <c:v>34403.30000000001</c:v>
                </c:pt>
                <c:pt idx="2">
                  <c:v>12442.400000000003</c:v>
                </c:pt>
                <c:pt idx="3">
                  <c:v>5566.1</c:v>
                </c:pt>
                <c:pt idx="4">
                  <c:v>2836.1000000000004</c:v>
                </c:pt>
                <c:pt idx="5">
                  <c:v>52196.81000000018</c:v>
                </c:pt>
              </c:numCache>
            </c:numRef>
          </c:val>
          <c:shape val="box"/>
        </c:ser>
        <c:shape val="box"/>
        <c:axId val="12247781"/>
        <c:axId val="43121166"/>
      </c:bar3DChart>
      <c:catAx>
        <c:axId val="12247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121166"/>
        <c:crosses val="autoZero"/>
        <c:auto val="1"/>
        <c:lblOffset val="100"/>
        <c:tickLblSkip val="1"/>
        <c:noMultiLvlLbl val="0"/>
      </c:catAx>
      <c:valAx>
        <c:axId val="431211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477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3"/>
  <sheetViews>
    <sheetView tabSelected="1" view="pageBreakPreview" zoomScale="80" zoomScaleNormal="75" zoomScaleSheetLayoutView="80" zoomScalePageLayoutView="0" workbookViewId="0" topLeftCell="A1">
      <pane xSplit="1" ySplit="5" topLeftCell="B12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6" sqref="D146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109</v>
      </c>
      <c r="C3" s="119" t="s">
        <v>102</v>
      </c>
      <c r="D3" s="119" t="s">
        <v>29</v>
      </c>
      <c r="E3" s="119" t="s">
        <v>28</v>
      </c>
      <c r="F3" s="119" t="s">
        <v>110</v>
      </c>
      <c r="G3" s="119" t="s">
        <v>103</v>
      </c>
      <c r="H3" s="119" t="s">
        <v>111</v>
      </c>
      <c r="I3" s="119" t="s">
        <v>104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>
        <v>210661</v>
      </c>
      <c r="C6" s="53">
        <f>279531.5-5173.3+47.5</f>
        <v>274405.7</v>
      </c>
      <c r="D6" s="54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+20+57.5+86.8+407.5+0.1+396.8+189.5+580.6+441.3+439.3+1165.6+272+6.5+6260.01+40.4+24+66.2+184.1+2142.1+717.9+245.1+2929.1+0.1+594.8+1083.1+41+16.5+23+0.5+0.5+154.7+14.7+8651.3+110.9</f>
        <v>196585.61000000004</v>
      </c>
      <c r="E6" s="3">
        <f>D6/D137*100</f>
        <v>44.4914601262722</v>
      </c>
      <c r="F6" s="3">
        <f>D6/B6*100</f>
        <v>93.31846426248809</v>
      </c>
      <c r="G6" s="3">
        <f aca="true" t="shared" si="0" ref="G6:G41">D6/C6*100</f>
        <v>71.64049799257086</v>
      </c>
      <c r="H6" s="3">
        <f>B6-D6</f>
        <v>14075.389999999956</v>
      </c>
      <c r="I6" s="3">
        <f aca="true" t="shared" si="1" ref="I6:I41">C6-D6</f>
        <v>77820.08999999997</v>
      </c>
    </row>
    <row r="7" spans="1:9" ht="18">
      <c r="A7" s="29" t="s">
        <v>3</v>
      </c>
      <c r="B7" s="49">
        <v>173962.2</v>
      </c>
      <c r="C7" s="50">
        <f>220378.6-5173.3+74.8</f>
        <v>215280.1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+441.3+439.3+1165.6+272+6.5+5281+1+2140.4+717.9+245.1+2929.1+533.3+1070.1+7916.3</f>
        <v>162856.19999999992</v>
      </c>
      <c r="E7" s="1">
        <f>D7/D6*100</f>
        <v>82.84238098607517</v>
      </c>
      <c r="F7" s="1">
        <f>D7/B7*100</f>
        <v>93.61585447873153</v>
      </c>
      <c r="G7" s="1">
        <f t="shared" si="0"/>
        <v>75.64851558504475</v>
      </c>
      <c r="H7" s="1">
        <f>B7-D7</f>
        <v>11106.000000000087</v>
      </c>
      <c r="I7" s="1">
        <f t="shared" si="1"/>
        <v>52423.90000000008</v>
      </c>
    </row>
    <row r="8" spans="1:9" ht="18">
      <c r="A8" s="29" t="s">
        <v>2</v>
      </c>
      <c r="B8" s="49">
        <v>39.6</v>
      </c>
      <c r="C8" s="50">
        <v>44.6</v>
      </c>
      <c r="D8" s="51">
        <f>0.1+0.1+0.3+0.3+2.7+0.7+1.1+1.4+0.5+0.7+1.7+0.4+0.5+1+0.2+0.1+2.9+0.1</f>
        <v>14.8</v>
      </c>
      <c r="E8" s="12">
        <f>D8/D6*100</f>
        <v>0.007528526630204519</v>
      </c>
      <c r="F8" s="1">
        <f>D8/B8*100</f>
        <v>37.37373737373738</v>
      </c>
      <c r="G8" s="1">
        <f t="shared" si="0"/>
        <v>33.18385650224215</v>
      </c>
      <c r="H8" s="1">
        <f aca="true" t="shared" si="2" ref="H8:H41">B8-D8</f>
        <v>24.8</v>
      </c>
      <c r="I8" s="1">
        <f t="shared" si="1"/>
        <v>29.8</v>
      </c>
    </row>
    <row r="9" spans="1:9" ht="18">
      <c r="A9" s="29" t="s">
        <v>1</v>
      </c>
      <c r="B9" s="49">
        <v>12083.2</v>
      </c>
      <c r="C9" s="50">
        <v>17103.7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538.7+346.9+429.4+56.3+419.6+508.1+71-0.1+453.2+98.5+2.8+391.5+199.8+80.8+202.8+35.8+0.1+605.8+190.7+96.5+200+176+997.3+131.2+243.2+104+591.3+99.4+217.4+212.6+91.6-0.1+103.6+174.3+89.1+426.5+77.6+43.7+34.3+79.9+190+100+316.7+131.4+13.3+522.6+10.4+128.7+1.7-0.2+150+366.3+105.4</f>
        <v>10857.400000000001</v>
      </c>
      <c r="E9" s="1">
        <f>D9/D6*100</f>
        <v>5.522988178025848</v>
      </c>
      <c r="F9" s="1">
        <f aca="true" t="shared" si="3" ref="F9:F39">D9/B9*100</f>
        <v>89.85533633474577</v>
      </c>
      <c r="G9" s="1">
        <f t="shared" si="0"/>
        <v>63.479831849249</v>
      </c>
      <c r="H9" s="1">
        <f t="shared" si="2"/>
        <v>1225.7999999999993</v>
      </c>
      <c r="I9" s="1">
        <f t="shared" si="1"/>
        <v>6246.299999999999</v>
      </c>
    </row>
    <row r="10" spans="1:9" ht="18">
      <c r="A10" s="29" t="s">
        <v>0</v>
      </c>
      <c r="B10" s="49">
        <v>22458.4</v>
      </c>
      <c r="C10" s="50">
        <v>39445.5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1.1+76.7+36.7+34.9+18.5+42.2+88.1+82.5+80.9+400.1+1837.5+2957.3+365.3+150+4041.5+622.1+388.9+504.4+104+339.4+307.4+873.2+298.8+1030.7+5.1+301.4+159+4.7+44.9+145.5+1389.2+0.1+286.8+29.7+169.8+150+335.9+471.6+518+146.5+100.2+1758.9+8.6+0.7+21.2+33.2+456.5+8.7+16.2+0.1+364.5+0.1</f>
        <v>21609.3</v>
      </c>
      <c r="E10" s="1">
        <f>D10/D6*100</f>
        <v>10.992310169599898</v>
      </c>
      <c r="F10" s="1">
        <f t="shared" si="3"/>
        <v>96.21923200227977</v>
      </c>
      <c r="G10" s="1">
        <f t="shared" si="0"/>
        <v>54.782674829828494</v>
      </c>
      <c r="H10" s="1">
        <f t="shared" si="2"/>
        <v>849.1000000000022</v>
      </c>
      <c r="I10" s="1">
        <f t="shared" si="1"/>
        <v>17836.2</v>
      </c>
    </row>
    <row r="11" spans="1:9" ht="18">
      <c r="A11" s="29" t="s">
        <v>15</v>
      </c>
      <c r="B11" s="49">
        <v>217.3</v>
      </c>
      <c r="C11" s="50">
        <f>281.8-31.7</f>
        <v>250.10000000000002</v>
      </c>
      <c r="D11" s="51">
        <f>4+4+12.7+4+4+14.5+4+115.8+4+14.4+5.4</f>
        <v>186.8</v>
      </c>
      <c r="E11" s="1">
        <f>D11/D6*100</f>
        <v>0.09502221449474353</v>
      </c>
      <c r="F11" s="1">
        <f t="shared" si="3"/>
        <v>85.96410492406811</v>
      </c>
      <c r="G11" s="1">
        <f t="shared" si="0"/>
        <v>74.69012395041983</v>
      </c>
      <c r="H11" s="1">
        <f t="shared" si="2"/>
        <v>30.5</v>
      </c>
      <c r="I11" s="1">
        <f t="shared" si="1"/>
        <v>63.30000000000001</v>
      </c>
    </row>
    <row r="12" spans="1:9" ht="18.75" thickBot="1">
      <c r="A12" s="29" t="s">
        <v>35</v>
      </c>
      <c r="B12" s="50">
        <f>B6-B7-B8-B9-B10-B11</f>
        <v>1900.2999999999877</v>
      </c>
      <c r="C12" s="50">
        <f>C6-C7-C8-C9-C10-C11</f>
        <v>2281.700000000003</v>
      </c>
      <c r="D12" s="50">
        <f>D6-D7-D8-D9-D10-D11</f>
        <v>1061.1100000001163</v>
      </c>
      <c r="E12" s="1">
        <f>D12/D6*100</f>
        <v>0.5397699251741346</v>
      </c>
      <c r="F12" s="1">
        <f t="shared" si="3"/>
        <v>55.839078040315904</v>
      </c>
      <c r="G12" s="1">
        <f t="shared" si="0"/>
        <v>46.50523732305364</v>
      </c>
      <c r="H12" s="1">
        <f t="shared" si="2"/>
        <v>839.1899999998714</v>
      </c>
      <c r="I12" s="1">
        <f t="shared" si="1"/>
        <v>1220.5899999998867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v>152884.1</v>
      </c>
      <c r="C17" s="53">
        <f>176050.5+1395.7+321.5</f>
        <v>177767.7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+7247.6+102.9+275.7+91+1867.4+4041.7+0.1+1069.7+155.1+34+126+149+41.2+26+29.3+6713.2+147.4</f>
        <v>136519.2</v>
      </c>
      <c r="E17" s="3">
        <f>D17/D137*100</f>
        <v>30.89716761705284</v>
      </c>
      <c r="F17" s="3">
        <f>D17/B17*100</f>
        <v>89.2958783810743</v>
      </c>
      <c r="G17" s="3">
        <f t="shared" si="0"/>
        <v>76.79640339611751</v>
      </c>
      <c r="H17" s="3">
        <f>B17-D17</f>
        <v>16364.899999999994</v>
      </c>
      <c r="I17" s="3">
        <f t="shared" si="1"/>
        <v>41248.5</v>
      </c>
    </row>
    <row r="18" spans="1:9" ht="18">
      <c r="A18" s="29" t="s">
        <v>5</v>
      </c>
      <c r="B18" s="49">
        <v>120605.7</v>
      </c>
      <c r="C18" s="50">
        <f>133077.8+325.7</f>
        <v>133403.5</v>
      </c>
      <c r="D18" s="51">
        <f>5127.2+6545.1+310.1+0.1+5190.4+6767.1+5380.4+556.1+6698.2+26.3+5454.2+14.7+1807.4+5633.7-0.1+5479.7+8333.7+0.1+5594.2+20.5+8919.7-0.1+6648.6+409.3+7265+6051.8+1663.6+3936.9-0.1+1069.7+155.1+0.3+41.2+5904.4</f>
        <v>111004.49999999999</v>
      </c>
      <c r="E18" s="1">
        <f>D18/D17*100</f>
        <v>81.31054093490144</v>
      </c>
      <c r="F18" s="1">
        <f t="shared" si="3"/>
        <v>92.03918222770564</v>
      </c>
      <c r="G18" s="1">
        <f t="shared" si="0"/>
        <v>83.20958595539096</v>
      </c>
      <c r="H18" s="1">
        <f t="shared" si="2"/>
        <v>9601.200000000012</v>
      </c>
      <c r="I18" s="1">
        <f t="shared" si="1"/>
        <v>22399.000000000015</v>
      </c>
    </row>
    <row r="19" spans="1:9" ht="18">
      <c r="A19" s="29" t="s">
        <v>2</v>
      </c>
      <c r="B19" s="49">
        <v>5825.9</v>
      </c>
      <c r="C19" s="50">
        <f>7565.3-5.5+258.8</f>
        <v>7818.6</v>
      </c>
      <c r="D19" s="51">
        <f>15+99.7+173.8+0.6+107.5+22.1+0.5+193.8+202.2+7.6+0.9+0.4+198.3+0.9+0.9+95.5+0.1+279.3+38.4+83.3+46.9+46.6+4.1+6.6+39.1+95.6+92.1+24.2+50.1-0.1+50+365.7+1.1+48.1+10.4+9.3-0.1+354.3+8.9+29.5+20+0.3+26+291.1+39.2</f>
        <v>3179.7999999999997</v>
      </c>
      <c r="E19" s="1">
        <f>D19/D17*100</f>
        <v>2.3291961863239745</v>
      </c>
      <c r="F19" s="1">
        <f t="shared" si="3"/>
        <v>54.58040817727733</v>
      </c>
      <c r="G19" s="1">
        <f t="shared" si="0"/>
        <v>40.66968510986621</v>
      </c>
      <c r="H19" s="1">
        <f t="shared" si="2"/>
        <v>2646.1</v>
      </c>
      <c r="I19" s="1">
        <f t="shared" si="1"/>
        <v>4638.800000000001</v>
      </c>
    </row>
    <row r="20" spans="1:9" ht="18">
      <c r="A20" s="29" t="s">
        <v>1</v>
      </c>
      <c r="B20" s="49">
        <v>2404.9</v>
      </c>
      <c r="C20" s="50">
        <v>2836.6</v>
      </c>
      <c r="D20" s="51">
        <f>50.7+162.6+43.4+2.3+47.2+1.8+59.1-0.1+62.8+64.5+13.9+16.6+5.7+70.4+205+17+53.6+0.4+52.9+123.3+33.6+13.4+33.2+48.5+167.7+45.5+44.4+10.1+293.6+15.3+0.1+122.4+32+45.4</f>
        <v>1958.3</v>
      </c>
      <c r="E20" s="1">
        <f>D20/D17*100</f>
        <v>1.4344502458262278</v>
      </c>
      <c r="F20" s="1">
        <f t="shared" si="3"/>
        <v>81.42958127157054</v>
      </c>
      <c r="G20" s="1">
        <f t="shared" si="0"/>
        <v>69.03687513220052</v>
      </c>
      <c r="H20" s="1">
        <f t="shared" si="2"/>
        <v>446.60000000000014</v>
      </c>
      <c r="I20" s="1">
        <f t="shared" si="1"/>
        <v>878.3</v>
      </c>
    </row>
    <row r="21" spans="1:9" ht="18">
      <c r="A21" s="29" t="s">
        <v>0</v>
      </c>
      <c r="B21" s="49">
        <v>11928.5</v>
      </c>
      <c r="C21" s="50">
        <f>19349.6+4</f>
        <v>19353.6</v>
      </c>
      <c r="D21" s="51">
        <f>36.6+15.7+3.3+2+290.1+4.1+24.2+41.8-0.1+460.8+0.9+2.5+257.9+361.7+1303.2+901+0.2+255.3+105.4+1050+1256.6+91+115.9+147.7+464.8+110+110.3+66.7+175+286.2-0.1+383.7+49.8+1261.4+100+227.4+297.9+1.5+191.9+21-0.1+309.1+54.7</f>
        <v>10838.999999999998</v>
      </c>
      <c r="E21" s="1">
        <f>D21/D17*100</f>
        <v>7.939542569836329</v>
      </c>
      <c r="F21" s="1">
        <f t="shared" si="3"/>
        <v>90.86641237372677</v>
      </c>
      <c r="G21" s="1">
        <f t="shared" si="0"/>
        <v>56.00508432539682</v>
      </c>
      <c r="H21" s="1">
        <f t="shared" si="2"/>
        <v>1089.5000000000018</v>
      </c>
      <c r="I21" s="1">
        <f t="shared" si="1"/>
        <v>8514.6</v>
      </c>
    </row>
    <row r="22" spans="1:9" ht="18">
      <c r="A22" s="29" t="s">
        <v>15</v>
      </c>
      <c r="B22" s="49">
        <v>1083.9</v>
      </c>
      <c r="C22" s="50">
        <f>1388.5-4</f>
        <v>1384.5</v>
      </c>
      <c r="D22" s="51">
        <f>14.2+80.1+19.7+105+3.5+1.3+30+84.1+0.1+72.2+54.8+15.1+59.3+59.3+8.9+52.2+1.2+36.9+21.6+108.1+114.2</f>
        <v>941.8000000000001</v>
      </c>
      <c r="E22" s="1">
        <f>D22/D17*100</f>
        <v>0.6898663338197119</v>
      </c>
      <c r="F22" s="1">
        <f t="shared" si="3"/>
        <v>86.8899344958022</v>
      </c>
      <c r="G22" s="1">
        <f t="shared" si="0"/>
        <v>68.0245576020224</v>
      </c>
      <c r="H22" s="1">
        <f t="shared" si="2"/>
        <v>142.10000000000002</v>
      </c>
      <c r="I22" s="1">
        <f t="shared" si="1"/>
        <v>442.69999999999993</v>
      </c>
    </row>
    <row r="23" spans="1:9" ht="18.75" thickBot="1">
      <c r="A23" s="29" t="s">
        <v>35</v>
      </c>
      <c r="B23" s="50">
        <f>B17-B18-B19-B20-B21-B22</f>
        <v>11035.200000000006</v>
      </c>
      <c r="C23" s="50">
        <f>C17-C18-C19-C20-C21-C22</f>
        <v>12970.900000000016</v>
      </c>
      <c r="D23" s="50">
        <f>D17-D18-D19-D20-D21-D22</f>
        <v>8595.80000000003</v>
      </c>
      <c r="E23" s="1">
        <f>D23/D17*100</f>
        <v>6.296403729292312</v>
      </c>
      <c r="F23" s="1">
        <f t="shared" si="3"/>
        <v>77.89437436566647</v>
      </c>
      <c r="G23" s="1">
        <f t="shared" si="0"/>
        <v>66.26988104140823</v>
      </c>
      <c r="H23" s="1">
        <f t="shared" si="2"/>
        <v>2439.399999999976</v>
      </c>
      <c r="I23" s="1">
        <f t="shared" si="1"/>
        <v>4375.099999999986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v>28936.1</v>
      </c>
      <c r="C31" s="53">
        <f>38286.9-761.1-47.5</f>
        <v>37478.3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+112.4+421.4+2.5+324.5+0.4+26.8+0.5+849.2-0.2+171.3+53.1+0.2+342.9+9.4+32.2+1170.6+0.6</f>
        <v>26031.399999999994</v>
      </c>
      <c r="E31" s="3">
        <f>D31/D137*100</f>
        <v>5.891453576541241</v>
      </c>
      <c r="F31" s="3">
        <f>D31/B31*100</f>
        <v>89.96167417170938</v>
      </c>
      <c r="G31" s="3">
        <f t="shared" si="0"/>
        <v>69.45725926736269</v>
      </c>
      <c r="H31" s="3">
        <f t="shared" si="2"/>
        <v>2904.7000000000044</v>
      </c>
      <c r="I31" s="3">
        <f t="shared" si="1"/>
        <v>11446.900000000009</v>
      </c>
    </row>
    <row r="32" spans="1:9" ht="18">
      <c r="A32" s="29" t="s">
        <v>3</v>
      </c>
      <c r="B32" s="49">
        <f>22097.5-230.4</f>
        <v>21867.1</v>
      </c>
      <c r="C32" s="50">
        <f>28976.1-761.1</f>
        <v>28215</v>
      </c>
      <c r="D32" s="51">
        <f>1119.5+1121.1+1039.4+104.2+1079.5+1133.4+1048+1163.9+1081.6+1130.3+1238-0.1+13.4+4.1+3118.3+55.1+2433-70.8+488+299.2+413.9+849.2+1170.6</f>
        <v>20032.8</v>
      </c>
      <c r="E32" s="1">
        <f>D32/D31*100</f>
        <v>76.95629124826173</v>
      </c>
      <c r="F32" s="1">
        <f t="shared" si="3"/>
        <v>91.6115991603825</v>
      </c>
      <c r="G32" s="1">
        <f t="shared" si="0"/>
        <v>71.00053163211058</v>
      </c>
      <c r="H32" s="1">
        <f t="shared" si="2"/>
        <v>1834.2999999999993</v>
      </c>
      <c r="I32" s="1">
        <f t="shared" si="1"/>
        <v>8182.200000000001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v>935.4</v>
      </c>
      <c r="C34" s="50">
        <f>1732.8+0.4</f>
        <v>1733.2</v>
      </c>
      <c r="D34" s="51">
        <f>1+2.5+0.8+6+1.4+0.1+11.2+0.5+6.3-0.2+32.4+6.9+2.4+3.4+18.4+48+143.7+198.6+32.7+71.3+22.6+9.9+48+1.6+5.4+15.8+0.4+0.8+1.6+4.3+7.5-0.1+9.4+0.4</f>
        <v>714.9999999999998</v>
      </c>
      <c r="E34" s="1">
        <f>D34/D31*100</f>
        <v>2.74668285224767</v>
      </c>
      <c r="F34" s="1">
        <f t="shared" si="3"/>
        <v>76.43788753474448</v>
      </c>
      <c r="G34" s="1">
        <f t="shared" si="0"/>
        <v>41.253173321024676</v>
      </c>
      <c r="H34" s="1">
        <f t="shared" si="2"/>
        <v>220.4000000000002</v>
      </c>
      <c r="I34" s="1">
        <f t="shared" si="1"/>
        <v>1018.2000000000003</v>
      </c>
    </row>
    <row r="35" spans="1:9" s="44" customFormat="1" ht="18.75">
      <c r="A35" s="23" t="s">
        <v>7</v>
      </c>
      <c r="B35" s="58">
        <v>575.6</v>
      </c>
      <c r="C35" s="59">
        <v>715.3</v>
      </c>
      <c r="D35" s="60">
        <f>38.5+5.5+3+4.5+22.1+25.5+8.2+45.3+17.5+1+24+2.2+10+60+29.8</f>
        <v>297.09999999999997</v>
      </c>
      <c r="E35" s="19">
        <f>D35/D31*100</f>
        <v>1.1413139516122839</v>
      </c>
      <c r="F35" s="19">
        <f t="shared" si="3"/>
        <v>51.61570535093814</v>
      </c>
      <c r="G35" s="19">
        <f t="shared" si="0"/>
        <v>41.535020271214876</v>
      </c>
      <c r="H35" s="19">
        <f t="shared" si="2"/>
        <v>278.50000000000006</v>
      </c>
      <c r="I35" s="19">
        <f t="shared" si="1"/>
        <v>418.2</v>
      </c>
    </row>
    <row r="36" spans="1:9" ht="18">
      <c r="A36" s="29" t="s">
        <v>15</v>
      </c>
      <c r="B36" s="49">
        <v>18</v>
      </c>
      <c r="C36" s="50">
        <f>45.2-20</f>
        <v>25.200000000000003</v>
      </c>
      <c r="D36" s="50">
        <f>3.6+3.6+7.2+3.6</f>
        <v>18</v>
      </c>
      <c r="E36" s="1">
        <f>D36/D31*100</f>
        <v>0.06914726061602527</v>
      </c>
      <c r="F36" s="1">
        <f t="shared" si="3"/>
        <v>100</v>
      </c>
      <c r="G36" s="1">
        <f t="shared" si="0"/>
        <v>71.42857142857142</v>
      </c>
      <c r="H36" s="1">
        <f t="shared" si="2"/>
        <v>0</v>
      </c>
      <c r="I36" s="1">
        <f t="shared" si="1"/>
        <v>7.200000000000003</v>
      </c>
    </row>
    <row r="37" spans="1:9" ht="18.75" thickBot="1">
      <c r="A37" s="29" t="s">
        <v>35</v>
      </c>
      <c r="B37" s="49">
        <f>B31-B32-B34-B35-B33-B36</f>
        <v>5540</v>
      </c>
      <c r="C37" s="49">
        <f>C31-C32-C34-C35-C33-C36</f>
        <v>6789.600000000003</v>
      </c>
      <c r="D37" s="49">
        <f>D31-D32-D34-D35-D33-D36</f>
        <v>4968.4999999999945</v>
      </c>
      <c r="E37" s="1">
        <f>D37/D31*100</f>
        <v>19.08656468726229</v>
      </c>
      <c r="F37" s="1">
        <f t="shared" si="3"/>
        <v>89.68411552346561</v>
      </c>
      <c r="G37" s="1">
        <f t="shared" si="0"/>
        <v>73.17809591139378</v>
      </c>
      <c r="H37" s="1">
        <f>B37-D37</f>
        <v>571.5000000000055</v>
      </c>
      <c r="I37" s="1">
        <f t="shared" si="1"/>
        <v>1821.1000000000085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v>735.1</v>
      </c>
      <c r="C41" s="53">
        <f>1079.9+40.7-300</f>
        <v>820.6000000000001</v>
      </c>
      <c r="D41" s="54">
        <f>39.9+10-0.1+63.8+32.1+23.9+51.2+20.3+38.8+26.2+1.3+95+24+3.6+45.4</f>
        <v>475.40000000000003</v>
      </c>
      <c r="E41" s="3">
        <f>D41/D137*100</f>
        <v>0.1075930234366076</v>
      </c>
      <c r="F41" s="3">
        <f>D41/B41*100</f>
        <v>64.671473268943</v>
      </c>
      <c r="G41" s="3">
        <f t="shared" si="0"/>
        <v>57.93321959541798</v>
      </c>
      <c r="H41" s="3">
        <f t="shared" si="2"/>
        <v>259.7</v>
      </c>
      <c r="I41" s="3">
        <f t="shared" si="1"/>
        <v>345.2000000000001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4498.3</v>
      </c>
      <c r="C43" s="53">
        <f>6105.1</f>
        <v>6105.1</v>
      </c>
      <c r="D43" s="54">
        <f>179.7+225.2+3.4+199.4+211.8+7.4+5.4+7.6+190.5+3.4+230.5+100.1+236.3+13.2+11.9+20.5+199.9+0.1+2+33.2+238.5+1.1+16.6+248.3+10.5+35.6+4.4+8.2+8.5+228.9+3.5+278.7-0.2+3.7+234.4+1.4+10+200.7-0.2+36.5+232.6+183.7+2.5+0.5+0.1+200.4+0.6</f>
        <v>4070.9999999999995</v>
      </c>
      <c r="E43" s="3">
        <f>D43/D137*100</f>
        <v>0.9213529625797843</v>
      </c>
      <c r="F43" s="3">
        <f>D43/B43*100</f>
        <v>90.50085587888756</v>
      </c>
      <c r="G43" s="3">
        <f aca="true" t="shared" si="4" ref="G43:G73">D43/C43*100</f>
        <v>66.68195443154083</v>
      </c>
      <c r="H43" s="3">
        <f>B43-D43</f>
        <v>427.30000000000064</v>
      </c>
      <c r="I43" s="3">
        <f aca="true" t="shared" si="5" ref="I43:I74">C43-D43</f>
        <v>2034.1000000000008</v>
      </c>
    </row>
    <row r="44" spans="1:9" ht="18">
      <c r="A44" s="29" t="s">
        <v>3</v>
      </c>
      <c r="B44" s="49">
        <v>3997.6</v>
      </c>
      <c r="C44" s="50">
        <f>5484.1-124.7</f>
        <v>5359.400000000001</v>
      </c>
      <c r="D44" s="51">
        <f>179.7+201.3+187+211.8+190.5+230.5+236.3+199.9+0.1+218.5+248.3+8.2+228.5-0.1+273.7+231.2+200.7+36.5+228.6+183.7-0.1+193.6</f>
        <v>3688.399999999999</v>
      </c>
      <c r="E44" s="1">
        <f>D44/D43*100</f>
        <v>90.60181773520019</v>
      </c>
      <c r="F44" s="1">
        <f aca="true" t="shared" si="6" ref="F44:F71">D44/B44*100</f>
        <v>92.2653592155293</v>
      </c>
      <c r="G44" s="1">
        <f t="shared" si="4"/>
        <v>68.82113669440606</v>
      </c>
      <c r="H44" s="1">
        <f aca="true" t="shared" si="7" ref="H44:H71">B44-D44</f>
        <v>309.2000000000007</v>
      </c>
      <c r="I44" s="1">
        <f t="shared" si="5"/>
        <v>1671.0000000000014</v>
      </c>
    </row>
    <row r="45" spans="1:9" ht="18">
      <c r="A45" s="29" t="s">
        <v>2</v>
      </c>
      <c r="B45" s="49">
        <v>1</v>
      </c>
      <c r="C45" s="50">
        <v>1</v>
      </c>
      <c r="D45" s="51">
        <f>0.3+0.5+0.2</f>
        <v>1</v>
      </c>
      <c r="E45" s="1">
        <f>D45/D43*100</f>
        <v>0.02456398919184476</v>
      </c>
      <c r="F45" s="1">
        <f t="shared" si="6"/>
        <v>100</v>
      </c>
      <c r="G45" s="1">
        <f t="shared" si="4"/>
        <v>100</v>
      </c>
      <c r="H45" s="1">
        <f t="shared" si="7"/>
        <v>0</v>
      </c>
      <c r="I45" s="1">
        <f t="shared" si="5"/>
        <v>0</v>
      </c>
    </row>
    <row r="46" spans="1:9" ht="18">
      <c r="A46" s="29" t="s">
        <v>1</v>
      </c>
      <c r="B46" s="49">
        <f>21.9+2.5</f>
        <v>24.4</v>
      </c>
      <c r="C46" s="50">
        <f>35.1+9.9</f>
        <v>45</v>
      </c>
      <c r="D46" s="51">
        <f>3.2+3.4-0.1+3.7+3.6+3.5+3.2</f>
        <v>20.499999999999996</v>
      </c>
      <c r="E46" s="1">
        <f>D46/D43*100</f>
        <v>0.5035617784328175</v>
      </c>
      <c r="F46" s="1">
        <f t="shared" si="6"/>
        <v>84.01639344262294</v>
      </c>
      <c r="G46" s="1">
        <f t="shared" si="4"/>
        <v>45.55555555555555</v>
      </c>
      <c r="H46" s="1">
        <f t="shared" si="7"/>
        <v>3.900000000000002</v>
      </c>
      <c r="I46" s="1">
        <f t="shared" si="5"/>
        <v>24.500000000000004</v>
      </c>
    </row>
    <row r="47" spans="1:9" ht="18">
      <c r="A47" s="29" t="s">
        <v>0</v>
      </c>
      <c r="B47" s="49">
        <v>216.7</v>
      </c>
      <c r="C47" s="50">
        <f>358+23.1</f>
        <v>381.1</v>
      </c>
      <c r="D47" s="51">
        <f>23.1+2.7+0.5+0.4+5.2+0.6+99.9+12.6+20.5-0.1+2+19.6+1.1+0.5+4.4+0.4+3.4+4+2.3+0.3</f>
        <v>203.40000000000003</v>
      </c>
      <c r="E47" s="1">
        <f>D47/D43*100</f>
        <v>4.996315401621225</v>
      </c>
      <c r="F47" s="1">
        <f t="shared" si="6"/>
        <v>93.86248269497003</v>
      </c>
      <c r="G47" s="1">
        <f t="shared" si="4"/>
        <v>53.37181842036212</v>
      </c>
      <c r="H47" s="1">
        <f t="shared" si="7"/>
        <v>13.299999999999955</v>
      </c>
      <c r="I47" s="1">
        <f t="shared" si="5"/>
        <v>177.7</v>
      </c>
    </row>
    <row r="48" spans="1:9" ht="18.75" thickBot="1">
      <c r="A48" s="29" t="s">
        <v>35</v>
      </c>
      <c r="B48" s="50">
        <f>B43-B44-B47-B46-B45</f>
        <v>258.6000000000003</v>
      </c>
      <c r="C48" s="50">
        <f>C43-C44-C47-C46-C45</f>
        <v>318.5999999999998</v>
      </c>
      <c r="D48" s="50">
        <f>D43-D44-D47-D46-D45</f>
        <v>157.70000000000033</v>
      </c>
      <c r="E48" s="1">
        <f>D48/D43*100</f>
        <v>3.8737410955539264</v>
      </c>
      <c r="F48" s="1">
        <f t="shared" si="6"/>
        <v>60.98221191028621</v>
      </c>
      <c r="G48" s="1">
        <f t="shared" si="4"/>
        <v>49.49780288763353</v>
      </c>
      <c r="H48" s="1">
        <f t="shared" si="7"/>
        <v>100.89999999999998</v>
      </c>
      <c r="I48" s="1">
        <f t="shared" si="5"/>
        <v>160.89999999999947</v>
      </c>
    </row>
    <row r="49" spans="1:9" ht="18.75" thickBot="1">
      <c r="A49" s="28" t="s">
        <v>4</v>
      </c>
      <c r="B49" s="52">
        <v>8952.4</v>
      </c>
      <c r="C49" s="53">
        <f>12054.8+85.4</f>
        <v>12140.199999999999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+61.2+200.9+53.5+0.7+14.5+6.8+201.2+0.2+176.7+5.6+66.5+10.8+4.5+321.6</f>
        <v>8025.599999999999</v>
      </c>
      <c r="E49" s="3">
        <f>D49/D137*100</f>
        <v>1.8163621558536767</v>
      </c>
      <c r="F49" s="3">
        <f>D49/B49*100</f>
        <v>89.64746883517269</v>
      </c>
      <c r="G49" s="3">
        <f t="shared" si="4"/>
        <v>66.10764237821452</v>
      </c>
      <c r="H49" s="3">
        <f>B49-D49</f>
        <v>926.8000000000002</v>
      </c>
      <c r="I49" s="3">
        <f t="shared" si="5"/>
        <v>4114.599999999999</v>
      </c>
    </row>
    <row r="50" spans="1:9" ht="18">
      <c r="A50" s="29" t="s">
        <v>3</v>
      </c>
      <c r="B50" s="49">
        <v>5653.6</v>
      </c>
      <c r="C50" s="50">
        <f>7727-234.9</f>
        <v>7492.1</v>
      </c>
      <c r="D50" s="51">
        <f>282.8+343.5+279.8+360.5+269.9+364.8-0.1+7.2+231.6+28.9+358.6+269.6+381.2-0.1+7.2+297.2+563.3+0.1+313.9+22.4+240.9+0.1+181.6+201.2+250.5</f>
        <v>5256.599999999999</v>
      </c>
      <c r="E50" s="1">
        <f>D50/D49*100</f>
        <v>65.49790669856459</v>
      </c>
      <c r="F50" s="1">
        <f t="shared" si="6"/>
        <v>92.97792556954859</v>
      </c>
      <c r="G50" s="1">
        <f t="shared" si="4"/>
        <v>70.16190387207858</v>
      </c>
      <c r="H50" s="1">
        <f t="shared" si="7"/>
        <v>397.0000000000009</v>
      </c>
      <c r="I50" s="1">
        <f t="shared" si="5"/>
        <v>2235.500000000001</v>
      </c>
    </row>
    <row r="51" spans="1:9" ht="18">
      <c r="A51" s="29" t="s">
        <v>2</v>
      </c>
      <c r="B51" s="49">
        <v>3.3</v>
      </c>
      <c r="C51" s="50">
        <v>9.7</v>
      </c>
      <c r="D51" s="51"/>
      <c r="E51" s="12">
        <f>D51/D49*100</f>
        <v>0</v>
      </c>
      <c r="F51" s="1"/>
      <c r="G51" s="1">
        <f t="shared" si="4"/>
        <v>0</v>
      </c>
      <c r="H51" s="1">
        <f t="shared" si="7"/>
        <v>3.3</v>
      </c>
      <c r="I51" s="1">
        <f t="shared" si="5"/>
        <v>9.7</v>
      </c>
    </row>
    <row r="52" spans="1:9" ht="18">
      <c r="A52" s="29" t="s">
        <v>1</v>
      </c>
      <c r="B52" s="49">
        <v>214.7</v>
      </c>
      <c r="C52" s="50">
        <v>325</v>
      </c>
      <c r="D52" s="51">
        <f>2.4+4.2+4.2+8.7+3.1+5.2-0.1+2.3+6.7+7.1+0.1+3.9+3.5+21.5+2.5-0.1+4.3+17.5+11.1+0.7-0.1+5.1+1.5</f>
        <v>115.30000000000001</v>
      </c>
      <c r="E52" s="1">
        <f>D52/D49*100</f>
        <v>1.4366527113237642</v>
      </c>
      <c r="F52" s="1">
        <f t="shared" si="6"/>
        <v>53.702841173730796</v>
      </c>
      <c r="G52" s="1">
        <f t="shared" si="4"/>
        <v>35.47692307692308</v>
      </c>
      <c r="H52" s="1">
        <f t="shared" si="7"/>
        <v>99.39999999999998</v>
      </c>
      <c r="I52" s="1">
        <f t="shared" si="5"/>
        <v>209.7</v>
      </c>
    </row>
    <row r="53" spans="1:9" ht="18">
      <c r="A53" s="29" t="s">
        <v>0</v>
      </c>
      <c r="B53" s="49">
        <v>265.2</v>
      </c>
      <c r="C53" s="50">
        <f>534.1-3</f>
        <v>531.1</v>
      </c>
      <c r="D53" s="51">
        <f>6+11+5+10.4+0.1+20.8+16+0.1+76.5+39.2+7.7+0.3+8.1+0.1+0.2+12-0.1+0.1+4.7+0.1+6.4+2.7+8.2+0.3+5.7+1.7</f>
        <v>243.2999999999999</v>
      </c>
      <c r="E53" s="1">
        <f>D53/D49*100</f>
        <v>3.0315490430622</v>
      </c>
      <c r="F53" s="1">
        <f t="shared" si="6"/>
        <v>91.74208144796377</v>
      </c>
      <c r="G53" s="1">
        <f t="shared" si="4"/>
        <v>45.81058181133494</v>
      </c>
      <c r="H53" s="1">
        <f t="shared" si="7"/>
        <v>21.90000000000009</v>
      </c>
      <c r="I53" s="1">
        <f t="shared" si="5"/>
        <v>287.8000000000001</v>
      </c>
    </row>
    <row r="54" spans="1:9" ht="18.75" thickBot="1">
      <c r="A54" s="29" t="s">
        <v>35</v>
      </c>
      <c r="B54" s="50">
        <f>B49-B50-B53-B52-B51</f>
        <v>2815.5999999999995</v>
      </c>
      <c r="C54" s="50">
        <f>C49-C50-C53-C52-C51</f>
        <v>3782.2999999999984</v>
      </c>
      <c r="D54" s="50">
        <f>D49-D50-D53-D52-D51</f>
        <v>2410.4</v>
      </c>
      <c r="E54" s="1">
        <f>D54/D49*100</f>
        <v>30.033891547049446</v>
      </c>
      <c r="F54" s="1">
        <f t="shared" si="6"/>
        <v>85.60875124307432</v>
      </c>
      <c r="G54" s="1">
        <f t="shared" si="4"/>
        <v>63.728419215821084</v>
      </c>
      <c r="H54" s="1">
        <f t="shared" si="7"/>
        <v>405.19999999999936</v>
      </c>
      <c r="I54" s="1">
        <f>C54-D54</f>
        <v>1371.8999999999983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2597.7</v>
      </c>
      <c r="C56" s="53">
        <f>3908.9-890.1</f>
        <v>3018.8</v>
      </c>
      <c r="D56" s="54">
        <f>128-60.9+102.5+11.8+75.2+16.7+4.5+87.9+0.1+68.6+30.5+35.2+2.4+30+93-9.8+0.1+1.7+68.5+10.2+1.8+24.5+103.7+27.9-0.2+10.2+8.1+67+7.8+116.4+1.9+0.1+112.6+7.7+3.6+49.7+2.7+83+1.2+238+33+52.1+52.4+257+25.7+26.3+35+121+60.8+143.6+30.8+42.6+0.3+1.3+0.9+44.2</f>
        <v>2490.9000000000005</v>
      </c>
      <c r="E56" s="3">
        <f>D56/D137*100</f>
        <v>0.5637430838835631</v>
      </c>
      <c r="F56" s="3">
        <f>D56/B56*100</f>
        <v>95.88867074719948</v>
      </c>
      <c r="G56" s="3">
        <f t="shared" si="4"/>
        <v>82.51291904067843</v>
      </c>
      <c r="H56" s="3">
        <f>B56-D56</f>
        <v>106.79999999999927</v>
      </c>
      <c r="I56" s="3">
        <f t="shared" si="5"/>
        <v>527.8999999999996</v>
      </c>
    </row>
    <row r="57" spans="1:9" ht="18">
      <c r="A57" s="29" t="s">
        <v>3</v>
      </c>
      <c r="B57" s="49">
        <v>1450.3</v>
      </c>
      <c r="C57" s="50">
        <f>2589.6-887.6+7.9</f>
        <v>1709.9</v>
      </c>
      <c r="D57" s="51">
        <f>128-60.9+102.5+75.2+87.9+68.6+30+93+68.5+96.9-0.1+67+116.4+112.6+49.7+83+52.4+24.4+26.2+0.2+55.4+42.6+44.2</f>
        <v>1363.7000000000003</v>
      </c>
      <c r="E57" s="1">
        <f>D57/D56*100</f>
        <v>54.7472800995624</v>
      </c>
      <c r="F57" s="1">
        <f t="shared" si="6"/>
        <v>94.02882162311248</v>
      </c>
      <c r="G57" s="1">
        <f t="shared" si="4"/>
        <v>79.75320194163402</v>
      </c>
      <c r="H57" s="1">
        <f t="shared" si="7"/>
        <v>86.59999999999968</v>
      </c>
      <c r="I57" s="1">
        <f t="shared" si="5"/>
        <v>346.1999999999998</v>
      </c>
    </row>
    <row r="58" spans="1:9" ht="18">
      <c r="A58" s="29" t="s">
        <v>1</v>
      </c>
      <c r="B58" s="49">
        <v>181.4</v>
      </c>
      <c r="C58" s="50">
        <f>188.9-7.5</f>
        <v>181.4</v>
      </c>
      <c r="D58" s="51">
        <f>33+49+35+64.4</f>
        <v>181.4</v>
      </c>
      <c r="E58" s="1">
        <f>D58/D56*100</f>
        <v>7.282508330322372</v>
      </c>
      <c r="F58" s="1">
        <f t="shared" si="6"/>
        <v>100</v>
      </c>
      <c r="G58" s="1">
        <f t="shared" si="4"/>
        <v>100</v>
      </c>
      <c r="H58" s="1">
        <f t="shared" si="7"/>
        <v>0</v>
      </c>
      <c r="I58" s="1">
        <f t="shared" si="5"/>
        <v>0</v>
      </c>
    </row>
    <row r="59" spans="1:9" ht="18">
      <c r="A59" s="29" t="s">
        <v>0</v>
      </c>
      <c r="B59" s="49">
        <v>135.4</v>
      </c>
      <c r="C59" s="50">
        <f>297.4-9.5</f>
        <v>287.9</v>
      </c>
      <c r="D59" s="51">
        <f>4.5+4.5+30.5+35.2+10+24.5+10.2+0.1+1.9+1.8+3+1.2+0.9</f>
        <v>128.3</v>
      </c>
      <c r="E59" s="1">
        <f>D59/D56*100</f>
        <v>5.150748725360311</v>
      </c>
      <c r="F59" s="1">
        <f t="shared" si="6"/>
        <v>94.75627769571639</v>
      </c>
      <c r="G59" s="1">
        <f t="shared" si="4"/>
        <v>44.56408475164989</v>
      </c>
      <c r="H59" s="1">
        <f t="shared" si="7"/>
        <v>7.099999999999994</v>
      </c>
      <c r="I59" s="1">
        <f t="shared" si="5"/>
        <v>159.59999999999997</v>
      </c>
    </row>
    <row r="60" spans="1:9" ht="18">
      <c r="A60" s="29" t="s">
        <v>15</v>
      </c>
      <c r="B60" s="49">
        <v>728.3</v>
      </c>
      <c r="C60" s="50">
        <f>728.7-0.4</f>
        <v>728.3000000000001</v>
      </c>
      <c r="D60" s="51">
        <f>238+257+58.9+143.6+30.7+0.1</f>
        <v>728.3000000000001</v>
      </c>
      <c r="E60" s="1">
        <f>D60/D56*100</f>
        <v>29.238427877474</v>
      </c>
      <c r="F60" s="1">
        <f t="shared" si="6"/>
        <v>100.00000000000003</v>
      </c>
      <c r="G60" s="1">
        <f t="shared" si="4"/>
        <v>100</v>
      </c>
      <c r="H60" s="1">
        <f t="shared" si="7"/>
        <v>0</v>
      </c>
      <c r="I60" s="1">
        <f t="shared" si="5"/>
        <v>0</v>
      </c>
    </row>
    <row r="61" spans="1:9" ht="18.75" thickBot="1">
      <c r="A61" s="29" t="s">
        <v>35</v>
      </c>
      <c r="B61" s="50">
        <f>B56-B57-B59-B60-B58</f>
        <v>102.29999999999993</v>
      </c>
      <c r="C61" s="50">
        <f>C56-C57-C59-C60-C58</f>
        <v>111.30000000000004</v>
      </c>
      <c r="D61" s="50">
        <f>D56-D57-D59-D60-D58</f>
        <v>89.20000000000024</v>
      </c>
      <c r="E61" s="1">
        <f>D61/D56*100</f>
        <v>3.581034967280911</v>
      </c>
      <c r="F61" s="1">
        <f t="shared" si="6"/>
        <v>87.19452590420363</v>
      </c>
      <c r="G61" s="1">
        <f t="shared" si="4"/>
        <v>80.14375561545391</v>
      </c>
      <c r="H61" s="1">
        <f t="shared" si="7"/>
        <v>13.099999999999682</v>
      </c>
      <c r="I61" s="1">
        <f t="shared" si="5"/>
        <v>22.099999999999795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343.5</v>
      </c>
      <c r="C66" s="53">
        <f>C67+C68</f>
        <v>460</v>
      </c>
      <c r="D66" s="54">
        <f>SUM(D67:D68)</f>
        <v>1.4</v>
      </c>
      <c r="E66" s="42">
        <f>D66/D137*100</f>
        <v>0.00031684945900557553</v>
      </c>
      <c r="F66" s="113">
        <f>D66/B66*100</f>
        <v>0.40756914119359533</v>
      </c>
      <c r="G66" s="3">
        <f t="shared" si="4"/>
        <v>0.30434782608695654</v>
      </c>
      <c r="H66" s="3">
        <f>B66-D66</f>
        <v>342.1</v>
      </c>
      <c r="I66" s="3">
        <f t="shared" si="5"/>
        <v>458.6</v>
      </c>
    </row>
    <row r="67" spans="1:9" ht="18">
      <c r="A67" s="29" t="s">
        <v>8</v>
      </c>
      <c r="B67" s="49">
        <v>209.3</v>
      </c>
      <c r="C67" s="50">
        <v>257.4</v>
      </c>
      <c r="D67" s="51">
        <f>1.4</f>
        <v>1.4</v>
      </c>
      <c r="E67" s="1"/>
      <c r="F67" s="1">
        <f t="shared" si="6"/>
        <v>0.668896321070234</v>
      </c>
      <c r="G67" s="1">
        <f t="shared" si="4"/>
        <v>0.5439005439005439</v>
      </c>
      <c r="H67" s="1">
        <f t="shared" si="7"/>
        <v>207.9</v>
      </c>
      <c r="I67" s="1">
        <f t="shared" si="5"/>
        <v>255.99999999999997</v>
      </c>
    </row>
    <row r="68" spans="1:9" ht="18.75" thickBot="1">
      <c r="A68" s="29" t="s">
        <v>9</v>
      </c>
      <c r="B68" s="49">
        <v>134.2</v>
      </c>
      <c r="C68" s="50">
        <v>202.6</v>
      </c>
      <c r="D68" s="51"/>
      <c r="E68" s="1"/>
      <c r="F68" s="1">
        <f t="shared" si="6"/>
        <v>0</v>
      </c>
      <c r="G68" s="1">
        <f t="shared" si="4"/>
        <v>0</v>
      </c>
      <c r="H68" s="1">
        <f t="shared" si="7"/>
        <v>134.2</v>
      </c>
      <c r="I68" s="1">
        <f t="shared" si="5"/>
        <v>202.6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300</v>
      </c>
      <c r="C74" s="69">
        <v>400</v>
      </c>
      <c r="D74" s="70"/>
      <c r="E74" s="48"/>
      <c r="F74" s="48"/>
      <c r="G74" s="48"/>
      <c r="H74" s="48">
        <f>B74-D74</f>
        <v>300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v>34755.2</v>
      </c>
      <c r="C87" s="53">
        <f>44816.4+146.6</f>
        <v>44963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+71.1+15.6+2.8+1359.9+16+69.8+67.1+1.1+7.5+7.3+1481.4+6.7+86.4+4.2+13.4+5.4+51.1+46.1+1163.9</f>
        <v>30574.90000000001</v>
      </c>
      <c r="E87" s="3">
        <f>D87/D137*100</f>
        <v>6.919743231535411</v>
      </c>
      <c r="F87" s="3">
        <f aca="true" t="shared" si="10" ref="F87:F92">D87/B87*100</f>
        <v>87.97215956173467</v>
      </c>
      <c r="G87" s="3">
        <f t="shared" si="8"/>
        <v>68.0001334430532</v>
      </c>
      <c r="H87" s="3">
        <f aca="true" t="shared" si="11" ref="H87:H92">B87-D87</f>
        <v>4180.299999999988</v>
      </c>
      <c r="I87" s="3">
        <f t="shared" si="9"/>
        <v>14388.099999999991</v>
      </c>
    </row>
    <row r="88" spans="1:9" ht="18">
      <c r="A88" s="29" t="s">
        <v>3</v>
      </c>
      <c r="B88" s="49">
        <v>29104.5</v>
      </c>
      <c r="C88" s="50">
        <f>38623.9-611.6</f>
        <v>38012.3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+71.1+1349.8+3.1+1481.4+24.8+12.2+5.4+1162.1</f>
        <v>26311.9</v>
      </c>
      <c r="E88" s="1">
        <f>D88/D87*100</f>
        <v>86.05719070217725</v>
      </c>
      <c r="F88" s="1">
        <f t="shared" si="10"/>
        <v>90.40492020134344</v>
      </c>
      <c r="G88" s="1">
        <f t="shared" si="8"/>
        <v>69.21943686648795</v>
      </c>
      <c r="H88" s="1">
        <f t="shared" si="11"/>
        <v>2792.5999999999985</v>
      </c>
      <c r="I88" s="1">
        <f t="shared" si="9"/>
        <v>11700.400000000001</v>
      </c>
    </row>
    <row r="89" spans="1:9" ht="18">
      <c r="A89" s="29" t="s">
        <v>33</v>
      </c>
      <c r="B89" s="49">
        <v>1400.8</v>
      </c>
      <c r="C89" s="50">
        <f>1866.3+51.3</f>
        <v>1917.6</v>
      </c>
      <c r="D89" s="51">
        <f>125+55.5+51.3+1.7-0.1+10.4+5.3+280.6+162.7+2.2+25.3+117.8+56.8+64.4+1.4+31+7.8+37.2+1.9+36.4+8.8+1+3.9+10.1+30.1+1.8</f>
        <v>1130.3</v>
      </c>
      <c r="E89" s="1">
        <f>D89/D87*100</f>
        <v>3.6968232111961106</v>
      </c>
      <c r="F89" s="1">
        <f t="shared" si="10"/>
        <v>80.68960593946316</v>
      </c>
      <c r="G89" s="1">
        <f t="shared" si="8"/>
        <v>58.94347100542344</v>
      </c>
      <c r="H89" s="1">
        <f t="shared" si="11"/>
        <v>270.5</v>
      </c>
      <c r="I89" s="1">
        <f t="shared" si="9"/>
        <v>787.3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4249.899999999997</v>
      </c>
      <c r="C91" s="50">
        <f>C87-C88-C89-C90</f>
        <v>5033.099999999997</v>
      </c>
      <c r="D91" s="50">
        <f>D87-D88-D89-D90</f>
        <v>3132.700000000007</v>
      </c>
      <c r="E91" s="1">
        <f>D91/D87*100</f>
        <v>10.245986086626631</v>
      </c>
      <c r="F91" s="1">
        <f t="shared" si="10"/>
        <v>73.71232264288594</v>
      </c>
      <c r="G91" s="1">
        <f>D91/C91*100</f>
        <v>62.241958236474716</v>
      </c>
      <c r="H91" s="1">
        <f t="shared" si="11"/>
        <v>1117.1999999999898</v>
      </c>
      <c r="I91" s="1">
        <f>C91-D91</f>
        <v>1900.3999999999896</v>
      </c>
    </row>
    <row r="92" spans="1:9" ht="19.5" thickBot="1">
      <c r="A92" s="14" t="s">
        <v>12</v>
      </c>
      <c r="B92" s="61">
        <v>34302.7</v>
      </c>
      <c r="C92" s="72">
        <f>39290.3+3989.1-27</f>
        <v>43252.4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+256.7+50+292.2+200+300+200+200+39.2+150+201.3+152.3+100+150+284.1+175.2+100+100+251+300</f>
        <v>23447.000000000004</v>
      </c>
      <c r="E92" s="3">
        <f>D92/D137*100</f>
        <v>5.3065494752169515</v>
      </c>
      <c r="F92" s="3">
        <f t="shared" si="10"/>
        <v>68.3532200089206</v>
      </c>
      <c r="G92" s="3">
        <f>D92/C92*100</f>
        <v>54.20970859420519</v>
      </c>
      <c r="H92" s="3">
        <f t="shared" si="11"/>
        <v>10855.699999999993</v>
      </c>
      <c r="I92" s="3">
        <f>C92-D92</f>
        <v>19805.399999999998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v>4764</v>
      </c>
      <c r="C98" s="106">
        <f>5290.2+873.6</f>
        <v>6163.8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+21.5+105.9+41.2+38.7+5.9+3+5.2+40.4+151.6+216.7+17.6+15.4</f>
        <v>4005.2</v>
      </c>
      <c r="E98" s="25">
        <f>D98/D137*100</f>
        <v>0.9064610380065223</v>
      </c>
      <c r="F98" s="25">
        <f>D98/B98*100</f>
        <v>84.07220822837951</v>
      </c>
      <c r="G98" s="25">
        <f aca="true" t="shared" si="12" ref="G98:G135">D98/C98*100</f>
        <v>64.97939582724942</v>
      </c>
      <c r="H98" s="25">
        <f aca="true" t="shared" si="13" ref="H98:H103">B98-D98</f>
        <v>758.8000000000002</v>
      </c>
      <c r="I98" s="25">
        <f aca="true" t="shared" si="14" ref="I98:I135">C98-D98</f>
        <v>2158.6000000000004</v>
      </c>
    </row>
    <row r="99" spans="1:9" ht="18">
      <c r="A99" s="92" t="s">
        <v>66</v>
      </c>
      <c r="B99" s="102">
        <v>15.2</v>
      </c>
      <c r="C99" s="100">
        <f>23.5-2.3-6</f>
        <v>15.2</v>
      </c>
      <c r="D99" s="100">
        <f>12.7+2.5</f>
        <v>15.2</v>
      </c>
      <c r="E99" s="96">
        <f>D99/D98*100</f>
        <v>0.3795066413662239</v>
      </c>
      <c r="F99" s="1">
        <f>D99/B99*100</f>
        <v>100</v>
      </c>
      <c r="G99" s="96">
        <f>D99/C99*100</f>
        <v>100</v>
      </c>
      <c r="H99" s="96">
        <f t="shared" si="13"/>
        <v>0</v>
      </c>
      <c r="I99" s="96">
        <f t="shared" si="14"/>
        <v>0</v>
      </c>
    </row>
    <row r="100" spans="1:9" ht="18">
      <c r="A100" s="98" t="s">
        <v>65</v>
      </c>
      <c r="B100" s="82">
        <v>4422.2</v>
      </c>
      <c r="C100" s="51">
        <f>5711.4</f>
        <v>5711.4</v>
      </c>
      <c r="D100" s="51">
        <f>3302.1+5.1+16.7+151+216.3+17.4+13.8</f>
        <v>3722.4</v>
      </c>
      <c r="E100" s="1">
        <f>D100/D98*100</f>
        <v>92.93917906721263</v>
      </c>
      <c r="F100" s="1">
        <f aca="true" t="shared" si="15" ref="F100:F135">D100/B100*100</f>
        <v>84.17529736330334</v>
      </c>
      <c r="G100" s="1">
        <f t="shared" si="12"/>
        <v>65.17491333123228</v>
      </c>
      <c r="H100" s="1">
        <f t="shared" si="13"/>
        <v>699.7999999999997</v>
      </c>
      <c r="I100" s="1">
        <f t="shared" si="14"/>
        <v>1988.9999999999995</v>
      </c>
    </row>
    <row r="101" spans="1:9" ht="54.75" thickBot="1">
      <c r="A101" s="99" t="s">
        <v>107</v>
      </c>
      <c r="B101" s="101">
        <v>260.7</v>
      </c>
      <c r="C101" s="101">
        <v>400.1</v>
      </c>
      <c r="D101" s="101">
        <f>17.7+41.2+3+5.2+16.9+34.4+10.6+13.9</f>
        <v>142.9</v>
      </c>
      <c r="E101" s="97">
        <f>D101/D98*100</f>
        <v>3.5678617796864076</v>
      </c>
      <c r="F101" s="97">
        <f>D101/B101*100</f>
        <v>54.81396240889912</v>
      </c>
      <c r="G101" s="97">
        <f>D101/C101*100</f>
        <v>35.716070982254436</v>
      </c>
      <c r="H101" s="97">
        <f t="shared" si="13"/>
        <v>117.79999999999998</v>
      </c>
      <c r="I101" s="97">
        <f>C101-D101</f>
        <v>257.20000000000005</v>
      </c>
    </row>
    <row r="102" spans="1:9" ht="18.75" thickBot="1">
      <c r="A102" s="99" t="s">
        <v>35</v>
      </c>
      <c r="B102" s="101">
        <f>B98-B99-B100</f>
        <v>326.60000000000036</v>
      </c>
      <c r="C102" s="101">
        <f>C98-C99-C100</f>
        <v>437.2000000000007</v>
      </c>
      <c r="D102" s="101">
        <f>D98-D99-D100</f>
        <v>267.5999999999999</v>
      </c>
      <c r="E102" s="97">
        <f>D102/D98*100</f>
        <v>6.681314291421151</v>
      </c>
      <c r="F102" s="97">
        <f t="shared" si="15"/>
        <v>81.93508879363124</v>
      </c>
      <c r="G102" s="97">
        <f t="shared" si="12"/>
        <v>61.20768526989924</v>
      </c>
      <c r="H102" s="97">
        <f>B102-D102</f>
        <v>59.000000000000455</v>
      </c>
      <c r="I102" s="97">
        <f t="shared" si="14"/>
        <v>169.60000000000082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13219.499999999998</v>
      </c>
      <c r="C103" s="94">
        <f>SUM(C104:C134)-C111-C115+C135-C130-C131-C105-C108-C118-C119</f>
        <v>17184.1</v>
      </c>
      <c r="D103" s="94">
        <f>SUM(D104:D134)-D111-D115+D135-D130-D131-D105-D108-D118-D119</f>
        <v>9622.6</v>
      </c>
      <c r="E103" s="95">
        <f>D103/D137*100</f>
        <v>2.1777968601621795</v>
      </c>
      <c r="F103" s="95">
        <f>D103/B103*100</f>
        <v>72.79095275918152</v>
      </c>
      <c r="G103" s="95">
        <f t="shared" si="12"/>
        <v>55.997113610837935</v>
      </c>
      <c r="H103" s="95">
        <f t="shared" si="13"/>
        <v>3596.899999999998</v>
      </c>
      <c r="I103" s="95">
        <f t="shared" si="14"/>
        <v>7561.499999999998</v>
      </c>
    </row>
    <row r="104" spans="1:9" ht="37.5">
      <c r="A104" s="34" t="s">
        <v>69</v>
      </c>
      <c r="B104" s="79">
        <v>892.8</v>
      </c>
      <c r="C104" s="75">
        <f>1869.9-400</f>
        <v>1469.9</v>
      </c>
      <c r="D104" s="80">
        <f>1.4+20.1+85.2+143.2+49+97.4+39.5+2.1+10+69.9+14+22.7</f>
        <v>554.5</v>
      </c>
      <c r="E104" s="6">
        <f>D104/D103*100</f>
        <v>5.762475838131066</v>
      </c>
      <c r="F104" s="6">
        <f t="shared" si="15"/>
        <v>62.10797491039427</v>
      </c>
      <c r="G104" s="6">
        <f t="shared" si="12"/>
        <v>37.723654670385734</v>
      </c>
      <c r="H104" s="6">
        <f aca="true" t="shared" si="16" ref="H104:H135">B104-D104</f>
        <v>338.29999999999995</v>
      </c>
      <c r="I104" s="6">
        <f t="shared" si="14"/>
        <v>915.4000000000001</v>
      </c>
    </row>
    <row r="105" spans="1:9" ht="18">
      <c r="A105" s="29" t="s">
        <v>33</v>
      </c>
      <c r="B105" s="82">
        <v>477</v>
      </c>
      <c r="C105" s="51">
        <f>1242.6+0.7-337</f>
        <v>906.3</v>
      </c>
      <c r="D105" s="83">
        <f>1.4+85.2+143.2+49+2.1+10+14+22.7</f>
        <v>327.6</v>
      </c>
      <c r="E105" s="1"/>
      <c r="F105" s="1">
        <f t="shared" si="15"/>
        <v>68.67924528301887</v>
      </c>
      <c r="G105" s="1">
        <f t="shared" si="12"/>
        <v>36.14697120158888</v>
      </c>
      <c r="H105" s="1">
        <f t="shared" si="16"/>
        <v>149.39999999999998</v>
      </c>
      <c r="I105" s="1">
        <f t="shared" si="14"/>
        <v>578.6999999999999</v>
      </c>
    </row>
    <row r="106" spans="1:9" ht="34.5" customHeight="1">
      <c r="A106" s="17" t="s">
        <v>106</v>
      </c>
      <c r="B106" s="81">
        <v>557.5</v>
      </c>
      <c r="C106" s="68">
        <v>857.5</v>
      </c>
      <c r="D106" s="80"/>
      <c r="E106" s="6">
        <f>D106/D103*100</f>
        <v>0</v>
      </c>
      <c r="F106" s="6">
        <f>D106/B106*100</f>
        <v>0</v>
      </c>
      <c r="G106" s="6">
        <f t="shared" si="12"/>
        <v>0</v>
      </c>
      <c r="H106" s="6">
        <f t="shared" si="16"/>
        <v>557.5</v>
      </c>
      <c r="I106" s="6">
        <f t="shared" si="14"/>
        <v>857.5</v>
      </c>
    </row>
    <row r="107" spans="1:9" ht="34.5" customHeight="1">
      <c r="A107" s="17" t="s">
        <v>78</v>
      </c>
      <c r="B107" s="81">
        <v>26.4</v>
      </c>
      <c r="C107" s="68">
        <v>36.5</v>
      </c>
      <c r="D107" s="80"/>
      <c r="E107" s="6">
        <f>D107/D103*100</f>
        <v>0</v>
      </c>
      <c r="F107" s="6">
        <f t="shared" si="15"/>
        <v>0</v>
      </c>
      <c r="G107" s="6">
        <f t="shared" si="12"/>
        <v>0</v>
      </c>
      <c r="H107" s="6">
        <f t="shared" si="16"/>
        <v>26.4</v>
      </c>
      <c r="I107" s="6">
        <f t="shared" si="14"/>
        <v>36.5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77</v>
      </c>
      <c r="B109" s="81">
        <v>56.4</v>
      </c>
      <c r="C109" s="68">
        <v>75.5</v>
      </c>
      <c r="D109" s="80">
        <f>5.5+5.5+5.5-0.1+5.5+5.5+5.5+5.5-0.1+5.5</f>
        <v>43.8</v>
      </c>
      <c r="E109" s="6">
        <f>D109/D103*100</f>
        <v>0.455178434103049</v>
      </c>
      <c r="F109" s="6">
        <f t="shared" si="15"/>
        <v>77.6595744680851</v>
      </c>
      <c r="G109" s="6">
        <f t="shared" si="12"/>
        <v>58.01324503311258</v>
      </c>
      <c r="H109" s="6">
        <f t="shared" si="16"/>
        <v>12.600000000000001</v>
      </c>
      <c r="I109" s="6">
        <f t="shared" si="14"/>
        <v>31.700000000000003</v>
      </c>
    </row>
    <row r="110" spans="1:9" ht="37.5">
      <c r="A110" s="17" t="s">
        <v>47</v>
      </c>
      <c r="B110" s="81">
        <v>782.4</v>
      </c>
      <c r="C110" s="68">
        <v>1050</v>
      </c>
      <c r="D110" s="80">
        <f>149.7+2.5+4.1+81.3+2.1+67.3+8+8.2+93.7+3.3+1.1+74.6+81.4+0.6+75.3+2.1</f>
        <v>655.3</v>
      </c>
      <c r="E110" s="6">
        <f>D110/D103*100</f>
        <v>6.810009768669589</v>
      </c>
      <c r="F110" s="6">
        <f t="shared" si="15"/>
        <v>83.75511247443762</v>
      </c>
      <c r="G110" s="6">
        <f t="shared" si="12"/>
        <v>62.409523809523805</v>
      </c>
      <c r="H110" s="6">
        <f t="shared" si="16"/>
        <v>127.10000000000002</v>
      </c>
      <c r="I110" s="6">
        <f t="shared" si="14"/>
        <v>394.70000000000005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>
      <c r="A112" s="17" t="s">
        <v>61</v>
      </c>
      <c r="B112" s="81">
        <v>74.5</v>
      </c>
      <c r="C112" s="60">
        <f>51.6+22.9</f>
        <v>74.5</v>
      </c>
      <c r="D112" s="84">
        <f>22.9</f>
        <v>22.9</v>
      </c>
      <c r="E112" s="19">
        <f>D112/D103*100</f>
        <v>0.23798141874337495</v>
      </c>
      <c r="F112" s="6">
        <f t="shared" si="15"/>
        <v>30.738255033557042</v>
      </c>
      <c r="G112" s="19">
        <f t="shared" si="12"/>
        <v>30.738255033557042</v>
      </c>
      <c r="H112" s="19">
        <f t="shared" si="16"/>
        <v>51.6</v>
      </c>
      <c r="I112" s="19">
        <f t="shared" si="14"/>
        <v>51.6</v>
      </c>
    </row>
    <row r="113" spans="1:9" ht="37.5">
      <c r="A113" s="17" t="s">
        <v>60</v>
      </c>
      <c r="B113" s="81">
        <v>168.6</v>
      </c>
      <c r="C113" s="68">
        <f>488.6-250</f>
        <v>238.60000000000002</v>
      </c>
      <c r="D113" s="80">
        <f>4.9+70</f>
        <v>74.9</v>
      </c>
      <c r="E113" s="6">
        <f>D113/D103*100</f>
        <v>0.7783759067195977</v>
      </c>
      <c r="F113" s="6">
        <f>D113/B113*100</f>
        <v>44.4246737841044</v>
      </c>
      <c r="G113" s="6">
        <f t="shared" si="12"/>
        <v>31.391450125733446</v>
      </c>
      <c r="H113" s="6">
        <f t="shared" si="16"/>
        <v>93.69999999999999</v>
      </c>
      <c r="I113" s="6">
        <f t="shared" si="14"/>
        <v>163.70000000000002</v>
      </c>
    </row>
    <row r="114" spans="1:9" s="2" customFormat="1" ht="18.75">
      <c r="A114" s="17" t="s">
        <v>16</v>
      </c>
      <c r="B114" s="81">
        <v>158.3</v>
      </c>
      <c r="C114" s="60">
        <f>153.4+26.9</f>
        <v>180.3</v>
      </c>
      <c r="D114" s="80">
        <f>13.5+13.4+14.3+0.8+6.9+0.4+13.5-0.1+0.8+0.5+2+13.5-0.1+0.1+13.9+0.3+2.4+13.5+0.3</f>
        <v>109.9</v>
      </c>
      <c r="E114" s="6">
        <f>D114/D103*100</f>
        <v>1.142102965934363</v>
      </c>
      <c r="F114" s="6">
        <f t="shared" si="15"/>
        <v>69.42514213518636</v>
      </c>
      <c r="G114" s="6">
        <f t="shared" si="12"/>
        <v>60.95396561286744</v>
      </c>
      <c r="H114" s="6">
        <f t="shared" si="16"/>
        <v>48.400000000000006</v>
      </c>
      <c r="I114" s="6">
        <f t="shared" si="14"/>
        <v>70.4</v>
      </c>
    </row>
    <row r="115" spans="1:9" s="39" customFormat="1" ht="18">
      <c r="A115" s="40" t="s">
        <v>54</v>
      </c>
      <c r="B115" s="82">
        <v>134.7</v>
      </c>
      <c r="C115" s="51">
        <f>121.2+27</f>
        <v>148.2</v>
      </c>
      <c r="D115" s="83">
        <f>13.5+13.4+13.5+13.5+13.4+13.5+13.5</f>
        <v>94.3</v>
      </c>
      <c r="E115" s="1"/>
      <c r="F115" s="1">
        <f t="shared" si="15"/>
        <v>70.00742390497402</v>
      </c>
      <c r="G115" s="1">
        <f t="shared" si="12"/>
        <v>63.63022941970311</v>
      </c>
      <c r="H115" s="1">
        <f t="shared" si="16"/>
        <v>40.39999999999999</v>
      </c>
      <c r="I115" s="1">
        <f t="shared" si="14"/>
        <v>53.89999999999999</v>
      </c>
    </row>
    <row r="116" spans="1:9" s="2" customFormat="1" ht="18.75">
      <c r="A116" s="17" t="s">
        <v>25</v>
      </c>
      <c r="B116" s="81">
        <v>246.7</v>
      </c>
      <c r="C116" s="60">
        <f>86.7+250</f>
        <v>336.7</v>
      </c>
      <c r="D116" s="80"/>
      <c r="E116" s="6">
        <f>D116/D103*100</f>
        <v>0</v>
      </c>
      <c r="F116" s="6">
        <f t="shared" si="15"/>
        <v>0</v>
      </c>
      <c r="G116" s="6">
        <f t="shared" si="12"/>
        <v>0</v>
      </c>
      <c r="H116" s="6">
        <f t="shared" si="16"/>
        <v>246.7</v>
      </c>
      <c r="I116" s="6">
        <f t="shared" si="14"/>
        <v>336.7</v>
      </c>
    </row>
    <row r="117" spans="1:9" s="2" customFormat="1" ht="21.75" customHeight="1">
      <c r="A117" s="17" t="s">
        <v>45</v>
      </c>
      <c r="B117" s="81">
        <v>614.7</v>
      </c>
      <c r="C117" s="60">
        <f>94.7+700</f>
        <v>794.7</v>
      </c>
      <c r="D117" s="84">
        <f>16.2+3.7+20.7</f>
        <v>40.599999999999994</v>
      </c>
      <c r="E117" s="19">
        <f>D117/D103*100</f>
        <v>0.4219233886891276</v>
      </c>
      <c r="F117" s="6">
        <f t="shared" si="15"/>
        <v>6.604847893281274</v>
      </c>
      <c r="G117" s="6">
        <f t="shared" si="12"/>
        <v>5.108846105448596</v>
      </c>
      <c r="H117" s="6">
        <f t="shared" si="16"/>
        <v>574.1</v>
      </c>
      <c r="I117" s="6">
        <f t="shared" si="14"/>
        <v>754.1</v>
      </c>
    </row>
    <row r="118" spans="1:9" s="117" customFormat="1" ht="18">
      <c r="A118" s="29" t="s">
        <v>108</v>
      </c>
      <c r="B118" s="82">
        <v>70</v>
      </c>
      <c r="C118" s="51">
        <v>70</v>
      </c>
      <c r="D118" s="80"/>
      <c r="E118" s="6"/>
      <c r="F118" s="1">
        <f>D118/B118*100</f>
        <v>0</v>
      </c>
      <c r="G118" s="1">
        <f t="shared" si="12"/>
        <v>0</v>
      </c>
      <c r="H118" s="1">
        <f t="shared" si="16"/>
        <v>70</v>
      </c>
      <c r="I118" s="1">
        <f t="shared" si="14"/>
        <v>70</v>
      </c>
    </row>
    <row r="119" spans="1:9" s="117" customFormat="1" ht="18">
      <c r="A119" s="29" t="s">
        <v>66</v>
      </c>
      <c r="B119" s="82">
        <v>9.7</v>
      </c>
      <c r="C119" s="51">
        <v>9.7</v>
      </c>
      <c r="D119" s="80"/>
      <c r="E119" s="6"/>
      <c r="F119" s="1">
        <f>D119/B119*100</f>
        <v>0</v>
      </c>
      <c r="G119" s="1">
        <f t="shared" si="12"/>
        <v>0</v>
      </c>
      <c r="H119" s="1">
        <f t="shared" si="16"/>
        <v>9.7</v>
      </c>
      <c r="I119" s="1">
        <f t="shared" si="14"/>
        <v>9.7</v>
      </c>
    </row>
    <row r="120" spans="1:9" s="2" customFormat="1" ht="37.5">
      <c r="A120" s="17" t="s">
        <v>49</v>
      </c>
      <c r="B120" s="81">
        <v>1643.4</v>
      </c>
      <c r="C120" s="60">
        <v>1700.1</v>
      </c>
      <c r="D120" s="84">
        <f>196.6+25+11.8+12.7+6.1+3.1+261.8+113.5+10.8</f>
        <v>641.4</v>
      </c>
      <c r="E120" s="19">
        <f>D120/D103*100</f>
        <v>6.665558165152868</v>
      </c>
      <c r="F120" s="6">
        <f t="shared" si="15"/>
        <v>39.02884264330047</v>
      </c>
      <c r="G120" s="6">
        <f t="shared" si="12"/>
        <v>37.72719251808717</v>
      </c>
      <c r="H120" s="6">
        <f t="shared" si="16"/>
        <v>1002.0000000000001</v>
      </c>
      <c r="I120" s="6">
        <f t="shared" si="14"/>
        <v>1058.6999999999998</v>
      </c>
    </row>
    <row r="121" spans="1:9" s="2" customFormat="1" ht="56.25">
      <c r="A121" s="17" t="s">
        <v>56</v>
      </c>
      <c r="B121" s="81">
        <v>151.3</v>
      </c>
      <c r="C121" s="60">
        <f>157.1+1.2</f>
        <v>158.29999999999998</v>
      </c>
      <c r="D121" s="84">
        <f>3.8+0.6</f>
        <v>4.3999999999999995</v>
      </c>
      <c r="E121" s="19">
        <f>D121/D103*100</f>
        <v>0.045725687444141905</v>
      </c>
      <c r="F121" s="6">
        <f t="shared" si="15"/>
        <v>2.9081295439524117</v>
      </c>
      <c r="G121" s="6">
        <f t="shared" si="12"/>
        <v>2.779532533164877</v>
      </c>
      <c r="H121" s="6">
        <f t="shared" si="16"/>
        <v>146.9</v>
      </c>
      <c r="I121" s="6">
        <f t="shared" si="14"/>
        <v>153.89999999999998</v>
      </c>
    </row>
    <row r="122" spans="1:9" s="2" customFormat="1" ht="57" customHeight="1" hidden="1">
      <c r="A122" s="17" t="s">
        <v>73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>
        <v>50</v>
      </c>
      <c r="C123" s="60">
        <v>50</v>
      </c>
      <c r="D123" s="84">
        <f>16.8+4.6+2.6+2.5+4.9+4.9+7.6+5.3</f>
        <v>49.199999999999996</v>
      </c>
      <c r="E123" s="19">
        <f>D123/D103*100</f>
        <v>0.5112963232390413</v>
      </c>
      <c r="F123" s="6">
        <f t="shared" si="15"/>
        <v>98.39999999999999</v>
      </c>
      <c r="G123" s="6">
        <f t="shared" si="12"/>
        <v>98.39999999999999</v>
      </c>
      <c r="H123" s="6">
        <f t="shared" si="16"/>
        <v>0.8000000000000043</v>
      </c>
      <c r="I123" s="6">
        <f t="shared" si="14"/>
        <v>0.8000000000000043</v>
      </c>
    </row>
    <row r="124" spans="1:9" s="2" customFormat="1" ht="37.5">
      <c r="A124" s="17" t="s">
        <v>81</v>
      </c>
      <c r="B124" s="81">
        <v>84.7</v>
      </c>
      <c r="C124" s="60">
        <v>84.7</v>
      </c>
      <c r="D124" s="84">
        <f>18.3+9.7</f>
        <v>28</v>
      </c>
      <c r="E124" s="19">
        <f>D124/D103*100</f>
        <v>0.2909816473718122</v>
      </c>
      <c r="F124" s="6">
        <f t="shared" si="15"/>
        <v>33.057851239669425</v>
      </c>
      <c r="G124" s="6">
        <f t="shared" si="12"/>
        <v>33.057851239669425</v>
      </c>
      <c r="H124" s="6">
        <f t="shared" si="16"/>
        <v>56.7</v>
      </c>
      <c r="I124" s="6">
        <f t="shared" si="14"/>
        <v>56.7</v>
      </c>
    </row>
    <row r="125" spans="1:9" s="2" customFormat="1" ht="18.75">
      <c r="A125" s="17" t="s">
        <v>75</v>
      </c>
      <c r="B125" s="81">
        <v>150.2</v>
      </c>
      <c r="C125" s="60">
        <v>178.8</v>
      </c>
      <c r="D125" s="84">
        <f>7.2+1.4+9.3+6.8+7.7+4.3+1.8+6+21.8+13.1+2.5+17+2.4+20.7+0.2</f>
        <v>122.2</v>
      </c>
      <c r="E125" s="19">
        <f>D125/D103*100</f>
        <v>1.2699270467441233</v>
      </c>
      <c r="F125" s="6">
        <f t="shared" si="15"/>
        <v>81.35818908122504</v>
      </c>
      <c r="G125" s="6">
        <f t="shared" si="12"/>
        <v>68.34451901565996</v>
      </c>
      <c r="H125" s="6">
        <f t="shared" si="16"/>
        <v>27.999999999999986</v>
      </c>
      <c r="I125" s="6">
        <f t="shared" si="14"/>
        <v>56.60000000000001</v>
      </c>
    </row>
    <row r="126" spans="1:9" s="2" customFormat="1" ht="35.25" customHeight="1">
      <c r="A126" s="17" t="s">
        <v>74</v>
      </c>
      <c r="B126" s="81">
        <v>43.3</v>
      </c>
      <c r="C126" s="60">
        <v>67.6</v>
      </c>
      <c r="D126" s="84">
        <f>0.5+1.5+0.1+14.8</f>
        <v>16.900000000000002</v>
      </c>
      <c r="E126" s="19">
        <f>D126/D103*100</f>
        <v>0.17562820859227238</v>
      </c>
      <c r="F126" s="6">
        <f t="shared" si="15"/>
        <v>39.030023094688225</v>
      </c>
      <c r="G126" s="6">
        <f t="shared" si="12"/>
        <v>25.000000000000007</v>
      </c>
      <c r="H126" s="6">
        <f t="shared" si="16"/>
        <v>26.399999999999995</v>
      </c>
      <c r="I126" s="6">
        <f t="shared" si="14"/>
        <v>50.69999999999999</v>
      </c>
    </row>
    <row r="127" spans="1:9" s="2" customFormat="1" ht="35.25" customHeight="1">
      <c r="A127" s="17" t="s">
        <v>76</v>
      </c>
      <c r="B127" s="81">
        <v>60</v>
      </c>
      <c r="C127" s="60">
        <v>60</v>
      </c>
      <c r="D127" s="84"/>
      <c r="E127" s="19">
        <f>D127/D103*100</f>
        <v>0</v>
      </c>
      <c r="F127" s="6">
        <f t="shared" si="15"/>
        <v>0</v>
      </c>
      <c r="G127" s="6">
        <f t="shared" si="12"/>
        <v>0</v>
      </c>
      <c r="H127" s="6">
        <f t="shared" si="16"/>
        <v>60</v>
      </c>
      <c r="I127" s="6">
        <f t="shared" si="14"/>
        <v>60</v>
      </c>
    </row>
    <row r="128" spans="1:9" s="2" customFormat="1" ht="18.75">
      <c r="A128" s="17" t="s">
        <v>101</v>
      </c>
      <c r="B128" s="81">
        <v>45.4</v>
      </c>
      <c r="C128" s="60">
        <f>115-64.6</f>
        <v>50.400000000000006</v>
      </c>
      <c r="D128" s="84"/>
      <c r="E128" s="19">
        <f>D128/D103*100</f>
        <v>0</v>
      </c>
      <c r="F128" s="6">
        <f t="shared" si="15"/>
        <v>0</v>
      </c>
      <c r="G128" s="6">
        <f>D128/C128*100</f>
        <v>0</v>
      </c>
      <c r="H128" s="6">
        <f t="shared" si="16"/>
        <v>45.4</v>
      </c>
      <c r="I128" s="6">
        <f t="shared" si="14"/>
        <v>50.400000000000006</v>
      </c>
    </row>
    <row r="129" spans="1:9" s="2" customFormat="1" ht="18.75">
      <c r="A129" s="17" t="s">
        <v>32</v>
      </c>
      <c r="B129" s="81">
        <v>655.1</v>
      </c>
      <c r="C129" s="60">
        <v>868.2</v>
      </c>
      <c r="D129" s="84">
        <f>21.4+1.2+34.6+22.6+3.4+31.2+5.1+22.6+3+44.8+0.2+32.7+27.3+30.6+3.7+29.7+4.3+33.6+0.1+0.1+6.3+25.5+0.4+38.4+0.1+0.3+0.6+29.7+0.1+36.6+5.6+24.5+3.6+36.9+0.1+40</f>
        <v>600.9000000000002</v>
      </c>
      <c r="E129" s="19">
        <f>D129/D103*100</f>
        <v>6.244673996632929</v>
      </c>
      <c r="F129" s="6">
        <f t="shared" si="15"/>
        <v>91.72645397649217</v>
      </c>
      <c r="G129" s="6">
        <f t="shared" si="12"/>
        <v>69.21216309606083</v>
      </c>
      <c r="H129" s="6">
        <f t="shared" si="16"/>
        <v>54.19999999999982</v>
      </c>
      <c r="I129" s="6">
        <f t="shared" si="14"/>
        <v>267.29999999999984</v>
      </c>
    </row>
    <row r="130" spans="1:9" s="39" customFormat="1" ht="18">
      <c r="A130" s="40" t="s">
        <v>54</v>
      </c>
      <c r="B130" s="82">
        <v>566.1</v>
      </c>
      <c r="C130" s="51">
        <v>747.1</v>
      </c>
      <c r="D130" s="83">
        <f>21.4+1.2+34.6+22.6+31.2+22.6+44.8+0.2+32.7+30.6+29.7+33.6+24.3+38.4+29.7+36.6+5.6+24.5+36.9+39.8</f>
        <v>541</v>
      </c>
      <c r="E130" s="1">
        <f>D130/D129*100</f>
        <v>90.03161923780992</v>
      </c>
      <c r="F130" s="1">
        <f>D130/B130*100</f>
        <v>95.5661543896838</v>
      </c>
      <c r="G130" s="1">
        <f t="shared" si="12"/>
        <v>72.4133315486548</v>
      </c>
      <c r="H130" s="1">
        <f t="shared" si="16"/>
        <v>25.100000000000023</v>
      </c>
      <c r="I130" s="1">
        <f t="shared" si="14"/>
        <v>206.10000000000002</v>
      </c>
    </row>
    <row r="131" spans="1:9" s="39" customFormat="1" ht="18">
      <c r="A131" s="29" t="s">
        <v>33</v>
      </c>
      <c r="B131" s="82">
        <v>13.1</v>
      </c>
      <c r="C131" s="51">
        <f>27.4-3</f>
        <v>24.4</v>
      </c>
      <c r="D131" s="83">
        <f>3.4+3+2.7+1.6-0.1+0.1+0.1+0.1+0.1</f>
        <v>11</v>
      </c>
      <c r="E131" s="1">
        <f>D131/D129*100</f>
        <v>1.8305874521551</v>
      </c>
      <c r="F131" s="1">
        <f>D131/B131*100</f>
        <v>83.96946564885496</v>
      </c>
      <c r="G131" s="1">
        <f>D131/C131*100</f>
        <v>45.08196721311475</v>
      </c>
      <c r="H131" s="1">
        <f t="shared" si="16"/>
        <v>2.0999999999999996</v>
      </c>
      <c r="I131" s="1">
        <f t="shared" si="14"/>
        <v>13.399999999999999</v>
      </c>
    </row>
    <row r="132" spans="1:9" s="2" customFormat="1" ht="18.75">
      <c r="A132" s="17" t="s">
        <v>27</v>
      </c>
      <c r="B132" s="81">
        <v>6282</v>
      </c>
      <c r="C132" s="60">
        <v>8376</v>
      </c>
      <c r="D132" s="84">
        <f>1513.1+580.9+2094+2094</f>
        <v>6282</v>
      </c>
      <c r="E132" s="19">
        <f>D132/D103*100</f>
        <v>65.28381102820443</v>
      </c>
      <c r="F132" s="6">
        <f t="shared" si="15"/>
        <v>100</v>
      </c>
      <c r="G132" s="6">
        <f t="shared" si="12"/>
        <v>75</v>
      </c>
      <c r="H132" s="6">
        <f t="shared" si="16"/>
        <v>0</v>
      </c>
      <c r="I132" s="6">
        <f t="shared" si="14"/>
        <v>2094</v>
      </c>
    </row>
    <row r="133" spans="1:12" s="2" customFormat="1" ht="18.75" customHeight="1">
      <c r="A133" s="17" t="s">
        <v>105</v>
      </c>
      <c r="B133" s="81">
        <v>475.8</v>
      </c>
      <c r="C133" s="60">
        <v>475.8</v>
      </c>
      <c r="D133" s="84">
        <f>90+165.6+35+30+20+35.1</f>
        <v>375.70000000000005</v>
      </c>
      <c r="E133" s="19">
        <f>D133/D103*100</f>
        <v>3.904350175628209</v>
      </c>
      <c r="F133" s="114">
        <f>D133/B133*100</f>
        <v>78.9617486338798</v>
      </c>
      <c r="G133" s="6">
        <f t="shared" si="12"/>
        <v>78.9617486338798</v>
      </c>
      <c r="H133" s="6">
        <f t="shared" si="16"/>
        <v>100.09999999999997</v>
      </c>
      <c r="I133" s="6">
        <f t="shared" si="14"/>
        <v>100.09999999999997</v>
      </c>
      <c r="K133" s="45"/>
      <c r="L133" s="45"/>
    </row>
    <row r="134" spans="1:12" s="2" customFormat="1" ht="19.5" customHeight="1" hidden="1">
      <c r="A134" s="17" t="s">
        <v>67</v>
      </c>
      <c r="B134" s="81">
        <v>0</v>
      </c>
      <c r="C134" s="60">
        <v>0</v>
      </c>
      <c r="D134" s="84"/>
      <c r="E134" s="19">
        <f>D134/D103*100</f>
        <v>0</v>
      </c>
      <c r="F134" s="6"/>
      <c r="G134" s="6" t="e">
        <f t="shared" si="12"/>
        <v>#DIV/0!</v>
      </c>
      <c r="H134" s="6">
        <f t="shared" si="16"/>
        <v>0</v>
      </c>
      <c r="I134" s="6">
        <f t="shared" si="14"/>
        <v>0</v>
      </c>
      <c r="K134" s="104"/>
      <c r="L134" s="45"/>
    </row>
    <row r="135" spans="1:12" s="2" customFormat="1" ht="18.75" hidden="1">
      <c r="A135" s="17" t="s">
        <v>62</v>
      </c>
      <c r="B135" s="81"/>
      <c r="C135" s="60"/>
      <c r="D135" s="84"/>
      <c r="E135" s="19">
        <f>D135/D103*100</f>
        <v>0</v>
      </c>
      <c r="F135" s="6" t="e">
        <f t="shared" si="15"/>
        <v>#DIV/0!</v>
      </c>
      <c r="G135" s="6" t="e">
        <f t="shared" si="12"/>
        <v>#DIV/0!</v>
      </c>
      <c r="H135" s="6">
        <f t="shared" si="16"/>
        <v>0</v>
      </c>
      <c r="I135" s="6">
        <f t="shared" si="14"/>
        <v>0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19362.1</v>
      </c>
      <c r="C136" s="85">
        <f>C41+C66+C69+C74+C76+C84+C98+C103+C96+C81+C94</f>
        <v>25028.5</v>
      </c>
      <c r="D136" s="60">
        <f>D41+D66+D69+D74+D76+D84+D98+D103+D96+D81+D94</f>
        <v>14104.6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496949.6</v>
      </c>
      <c r="C137" s="54">
        <f>C6+C17+C31+C41+C49+C56+C66+C69+C74+C76+C84+C87+C92+C98+C103+C96+C81+C94+C43</f>
        <v>624159.7000000001</v>
      </c>
      <c r="D137" s="54">
        <f>D6+D17+D31+D41+D49+D56+D66+D69+D74+D76+D84+D87+D92+D98+D103+D96+D81+D94+D43</f>
        <v>441850.21000000014</v>
      </c>
      <c r="E137" s="38">
        <v>100</v>
      </c>
      <c r="F137" s="3">
        <f>D137/B137*100</f>
        <v>88.91247925342935</v>
      </c>
      <c r="G137" s="3">
        <f aca="true" t="shared" si="17" ref="G137:G143">D137/C137*100</f>
        <v>70.79121096732136</v>
      </c>
      <c r="H137" s="3">
        <f aca="true" t="shared" si="18" ref="H137:H143">B137-D137</f>
        <v>55099.38999999984</v>
      </c>
      <c r="I137" s="3">
        <f aca="true" t="shared" si="19" ref="I137:I143">C137-D137</f>
        <v>182309.48999999993</v>
      </c>
      <c r="K137" s="46"/>
      <c r="L137" s="47"/>
    </row>
    <row r="138" spans="1:12" ht="18.75">
      <c r="A138" s="23" t="s">
        <v>5</v>
      </c>
      <c r="B138" s="67">
        <f>B7+B18+B32+B50+B57+B88+B111+B115+B44+B130</f>
        <v>357341.79999999993</v>
      </c>
      <c r="C138" s="67">
        <f>C7+C18+C32+C50+C57+C88+C111+C115+C44+C130</f>
        <v>430367.6</v>
      </c>
      <c r="D138" s="67">
        <f>D7+D18+D32+D50+D57+D88+D111+D115+D44+D130</f>
        <v>331149.3999999999</v>
      </c>
      <c r="E138" s="6">
        <f>D138/D137*100</f>
        <v>74.94607731430065</v>
      </c>
      <c r="F138" s="6">
        <f aca="true" t="shared" si="20" ref="F138:F149">D138/B138*100</f>
        <v>92.67021098567253</v>
      </c>
      <c r="G138" s="6">
        <f t="shared" si="17"/>
        <v>76.94570873829718</v>
      </c>
      <c r="H138" s="6">
        <f t="shared" si="18"/>
        <v>26192.400000000023</v>
      </c>
      <c r="I138" s="18">
        <f t="shared" si="19"/>
        <v>99218.20000000007</v>
      </c>
      <c r="K138" s="46"/>
      <c r="L138" s="47"/>
    </row>
    <row r="139" spans="1:12" ht="18.75">
      <c r="A139" s="23" t="s">
        <v>0</v>
      </c>
      <c r="B139" s="68">
        <f>B10+B21+B34+B53+B59+B89+B47+B131+B105+B108</f>
        <v>37830.5</v>
      </c>
      <c r="C139" s="68">
        <f>C10+C21+C34+C53+C59+C89+C47+C131+C105+C108</f>
        <v>64580.7</v>
      </c>
      <c r="D139" s="68">
        <f>D10+D21+D34+D53+D59+D89+D47+D131+D105+D108</f>
        <v>35207.200000000004</v>
      </c>
      <c r="E139" s="6">
        <f>D139/D137*100</f>
        <v>7.968130195072215</v>
      </c>
      <c r="F139" s="6">
        <f t="shared" si="20"/>
        <v>93.06564808818283</v>
      </c>
      <c r="G139" s="6">
        <f t="shared" si="17"/>
        <v>54.51659706382868</v>
      </c>
      <c r="H139" s="6">
        <f t="shared" si="18"/>
        <v>2623.2999999999956</v>
      </c>
      <c r="I139" s="18">
        <f t="shared" si="19"/>
        <v>29373.499999999993</v>
      </c>
      <c r="K139" s="46"/>
      <c r="L139" s="103"/>
    </row>
    <row r="140" spans="1:12" ht="18.75">
      <c r="A140" s="23" t="s">
        <v>1</v>
      </c>
      <c r="B140" s="67">
        <f>B20+B9+B52+B46+B58+B33+B99+B119</f>
        <v>14933.500000000002</v>
      </c>
      <c r="C140" s="67">
        <f>C20+C9+C52+C46+C58+C33+C99+C119</f>
        <v>20516.600000000002</v>
      </c>
      <c r="D140" s="67">
        <f>D20+D9+D52+D46+D58+D33+D99+D119</f>
        <v>13148.1</v>
      </c>
      <c r="E140" s="6">
        <f>D140/D137*100</f>
        <v>2.9756916942508633</v>
      </c>
      <c r="F140" s="6">
        <f t="shared" si="20"/>
        <v>88.04432986238993</v>
      </c>
      <c r="G140" s="6">
        <f t="shared" si="17"/>
        <v>64.08517980562081</v>
      </c>
      <c r="H140" s="6">
        <f t="shared" si="18"/>
        <v>1785.4000000000015</v>
      </c>
      <c r="I140" s="18">
        <f t="shared" si="19"/>
        <v>7368.500000000002</v>
      </c>
      <c r="K140" s="46"/>
      <c r="L140" s="47"/>
    </row>
    <row r="141" spans="1:12" ht="21" customHeight="1">
      <c r="A141" s="23" t="s">
        <v>15</v>
      </c>
      <c r="B141" s="67">
        <f>B11+B22+B100+B60+B36+B90</f>
        <v>6469.7</v>
      </c>
      <c r="C141" s="67">
        <f>C11+C22+C100+C60+C36+C90</f>
        <v>8099.5</v>
      </c>
      <c r="D141" s="67">
        <f>D11+D22+D100+D60+D36+D90</f>
        <v>5597.3</v>
      </c>
      <c r="E141" s="6">
        <f>D141/D137*100</f>
        <v>1.266786769208506</v>
      </c>
      <c r="F141" s="6">
        <f t="shared" si="20"/>
        <v>86.51560350557213</v>
      </c>
      <c r="G141" s="6">
        <f t="shared" si="17"/>
        <v>69.10673498364098</v>
      </c>
      <c r="H141" s="6">
        <f t="shared" si="18"/>
        <v>872.3999999999996</v>
      </c>
      <c r="I141" s="18">
        <f t="shared" si="19"/>
        <v>2502.2</v>
      </c>
      <c r="K141" s="46"/>
      <c r="L141" s="103"/>
    </row>
    <row r="142" spans="1:12" ht="18.75">
      <c r="A142" s="23" t="s">
        <v>2</v>
      </c>
      <c r="B142" s="67">
        <f>B8+B19+B45+B51+B118</f>
        <v>5939.8</v>
      </c>
      <c r="C142" s="67">
        <f>C8+C19+C45+C51+C118</f>
        <v>7943.900000000001</v>
      </c>
      <c r="D142" s="67">
        <f>D8+D19+D45+D51+D118</f>
        <v>3195.6</v>
      </c>
      <c r="E142" s="6">
        <f>D142/D137*100</f>
        <v>0.7232315222844409</v>
      </c>
      <c r="F142" s="6">
        <f t="shared" si="20"/>
        <v>53.79979123876224</v>
      </c>
      <c r="G142" s="6">
        <f t="shared" si="17"/>
        <v>40.22709248605848</v>
      </c>
      <c r="H142" s="6">
        <f t="shared" si="18"/>
        <v>2744.2000000000003</v>
      </c>
      <c r="I142" s="18">
        <f t="shared" si="19"/>
        <v>4748.300000000001</v>
      </c>
      <c r="K142" s="46"/>
      <c r="L142" s="47"/>
    </row>
    <row r="143" spans="1:12" ht="19.5" thickBot="1">
      <c r="A143" s="23" t="s">
        <v>35</v>
      </c>
      <c r="B143" s="67">
        <f>B137-B138-B139-B140-B141-B142</f>
        <v>74434.30000000005</v>
      </c>
      <c r="C143" s="67">
        <f>C137-C138-C139-C140-C141-C142</f>
        <v>92651.4000000001</v>
      </c>
      <c r="D143" s="67">
        <f>D137-D138-D139-D140-D141-D142</f>
        <v>53552.61000000022</v>
      </c>
      <c r="E143" s="6">
        <f>D143/D137*100</f>
        <v>12.12008250488332</v>
      </c>
      <c r="F143" s="6">
        <f t="shared" si="20"/>
        <v>71.94614579568854</v>
      </c>
      <c r="G143" s="43">
        <f t="shared" si="17"/>
        <v>57.80010879490236</v>
      </c>
      <c r="H143" s="6">
        <f t="shared" si="18"/>
        <v>20881.689999999828</v>
      </c>
      <c r="I143" s="6">
        <f t="shared" si="19"/>
        <v>39098.78999999988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>
      <c r="A145" s="32" t="s">
        <v>21</v>
      </c>
      <c r="B145" s="88">
        <v>60641.4</v>
      </c>
      <c r="C145" s="74">
        <f>77971.6-8326.2</f>
        <v>69645.40000000001</v>
      </c>
      <c r="D145" s="74">
        <f>1285.7+343.1+251.2+535+4+1250.9+3+47.1-1+182.9+10.6+2492.6+31+22.3+70.1+288.5+61.4+28+67+8.2+59.1+10.4+80.6+354.8+3.8+68.4+2.6+5.3+24.2+4809.3+1220.5</f>
        <v>13620.600000000002</v>
      </c>
      <c r="E145" s="15"/>
      <c r="F145" s="6">
        <f t="shared" si="20"/>
        <v>22.460893053260648</v>
      </c>
      <c r="G145" s="6">
        <f aca="true" t="shared" si="21" ref="G145:G154">D145/C145*100</f>
        <v>19.557070531578542</v>
      </c>
      <c r="H145" s="6">
        <f>B145-D145</f>
        <v>47020.8</v>
      </c>
      <c r="I145" s="6">
        <f aca="true" t="shared" si="22" ref="I145:I154">C145-D145</f>
        <v>56024.8</v>
      </c>
      <c r="J145" s="105"/>
      <c r="K145" s="46"/>
      <c r="L145" s="46"/>
    </row>
    <row r="146" spans="1:12" ht="18.75">
      <c r="A146" s="23" t="s">
        <v>22</v>
      </c>
      <c r="B146" s="89">
        <f>22855.7-553</f>
        <v>22302.7</v>
      </c>
      <c r="C146" s="67">
        <f>23644.2-130+4631.1</f>
        <v>28145.300000000003</v>
      </c>
      <c r="D146" s="67">
        <f>2921.3+155.4+1707.9+56.8+14.6+990.8-990.8+14.7+990.8+400.1+597.2+8.8-9.6+18.2+0.4+53.9+92.1+242.6+11.1+67.1</f>
        <v>7343.4000000000015</v>
      </c>
      <c r="E146" s="6"/>
      <c r="F146" s="6">
        <f t="shared" si="20"/>
        <v>32.926058279939205</v>
      </c>
      <c r="G146" s="6">
        <f t="shared" si="21"/>
        <v>26.091034737593844</v>
      </c>
      <c r="H146" s="6">
        <f aca="true" t="shared" si="23" ref="H146:H153">B146-D146</f>
        <v>14959.3</v>
      </c>
      <c r="I146" s="6">
        <f t="shared" si="22"/>
        <v>20801.9</v>
      </c>
      <c r="K146" s="46"/>
      <c r="L146" s="46"/>
    </row>
    <row r="147" spans="1:12" ht="18.75">
      <c r="A147" s="23" t="s">
        <v>63</v>
      </c>
      <c r="B147" s="89">
        <f>75951.1+1677.5</f>
        <v>77628.6</v>
      </c>
      <c r="C147" s="67">
        <f>109130.7-6200+130-3633.3+1677.5</f>
        <v>101104.9</v>
      </c>
      <c r="D147" s="67">
        <f>12373.9+5.2+226.7+32.3+504.2+352+56.1+74.8+164.6+110.4+53.4+5+259.9+35.3+227.9+253.7+8.4+155.5+43.7+293.8+95.9+120+108.2-3.9+2.6+47.3+889.8+308.2-299.5+32.3+665-40+230.5+30+49.3+35.9+22.5+8.3+278+112.5+74.9</f>
        <v>18004.600000000002</v>
      </c>
      <c r="E147" s="6"/>
      <c r="F147" s="6">
        <f t="shared" si="20"/>
        <v>23.19325609375926</v>
      </c>
      <c r="G147" s="6">
        <f t="shared" si="21"/>
        <v>17.807841162990126</v>
      </c>
      <c r="H147" s="6">
        <f t="shared" si="23"/>
        <v>59624</v>
      </c>
      <c r="I147" s="6">
        <f t="shared" si="22"/>
        <v>83100.29999999999</v>
      </c>
      <c r="K147" s="46"/>
      <c r="L147" s="46"/>
    </row>
    <row r="148" spans="1:12" ht="37.5">
      <c r="A148" s="23" t="s">
        <v>72</v>
      </c>
      <c r="B148" s="89">
        <f>7725.4+553-1678.4</f>
        <v>6600</v>
      </c>
      <c r="C148" s="67">
        <f>6200+2078.4-1678.4</f>
        <v>6600</v>
      </c>
      <c r="D148" s="67">
        <f>5500+500</f>
        <v>6000</v>
      </c>
      <c r="E148" s="6"/>
      <c r="F148" s="6">
        <f t="shared" si="20"/>
        <v>90.9090909090909</v>
      </c>
      <c r="G148" s="6">
        <f t="shared" si="21"/>
        <v>90.9090909090909</v>
      </c>
      <c r="H148" s="6">
        <f t="shared" si="23"/>
        <v>600</v>
      </c>
      <c r="I148" s="6">
        <f t="shared" si="22"/>
        <v>600</v>
      </c>
      <c r="K148" s="46"/>
      <c r="L148" s="46"/>
    </row>
    <row r="149" spans="1:12" ht="18.75">
      <c r="A149" s="23" t="s">
        <v>13</v>
      </c>
      <c r="B149" s="89">
        <v>15579.5</v>
      </c>
      <c r="C149" s="67">
        <f>8750.7+10716.7</f>
        <v>19467.4</v>
      </c>
      <c r="D149" s="67">
        <f>1079.6+99+23+18.9+98+142.5+46.8+99.4+162.7+67+248.3+33.5+121.9+230+22.3+285.4+115.2+35.8+49.4+183.7+191.3+33.3+185.2+84+58.5+292</f>
        <v>4006.7000000000007</v>
      </c>
      <c r="E149" s="19"/>
      <c r="F149" s="6">
        <f t="shared" si="20"/>
        <v>25.717770146667103</v>
      </c>
      <c r="G149" s="6">
        <f t="shared" si="21"/>
        <v>20.58158767991617</v>
      </c>
      <c r="H149" s="6">
        <f t="shared" si="23"/>
        <v>11572.8</v>
      </c>
      <c r="I149" s="6">
        <f t="shared" si="22"/>
        <v>15460.7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>
      <c r="A151" s="23" t="s">
        <v>53</v>
      </c>
      <c r="B151" s="89">
        <v>968.7</v>
      </c>
      <c r="C151" s="67">
        <f>790+361.2</f>
        <v>1151.2</v>
      </c>
      <c r="D151" s="67">
        <f>371+201.4+67.1+225.1</f>
        <v>864.6</v>
      </c>
      <c r="E151" s="19"/>
      <c r="F151" s="6">
        <f>D151/B151*100</f>
        <v>89.25363889749148</v>
      </c>
      <c r="G151" s="6">
        <f t="shared" si="21"/>
        <v>75.10423905489924</v>
      </c>
      <c r="H151" s="6">
        <f t="shared" si="23"/>
        <v>104.10000000000002</v>
      </c>
      <c r="I151" s="6">
        <f t="shared" si="22"/>
        <v>286.6</v>
      </c>
    </row>
    <row r="152" spans="1:9" ht="19.5" customHeight="1">
      <c r="A152" s="23" t="s">
        <v>70</v>
      </c>
      <c r="B152" s="89">
        <v>1945.7</v>
      </c>
      <c r="C152" s="67">
        <v>1945.7</v>
      </c>
      <c r="D152" s="67">
        <f>1118.3+480</f>
        <v>1598.3</v>
      </c>
      <c r="E152" s="19"/>
      <c r="F152" s="6">
        <f>D152/B152*100</f>
        <v>82.14524335714653</v>
      </c>
      <c r="G152" s="6">
        <f t="shared" si="21"/>
        <v>82.14524335714653</v>
      </c>
      <c r="H152" s="6">
        <f t="shared" si="23"/>
        <v>347.4000000000001</v>
      </c>
      <c r="I152" s="6">
        <f t="shared" si="22"/>
        <v>347.4000000000001</v>
      </c>
    </row>
    <row r="153" spans="1:9" ht="19.5" thickBot="1">
      <c r="A153" s="23" t="s">
        <v>64</v>
      </c>
      <c r="B153" s="89">
        <v>7806.8</v>
      </c>
      <c r="C153" s="90">
        <f>3939.6+4926.7</f>
        <v>8866.3</v>
      </c>
      <c r="D153" s="90">
        <f>95.1+9.9+65+49.9+275.1+44.8+19.5+19.1+33.5+61.7+72.9+34.3+99.3+27.3+72.8+14.7+35.2+85.4+11.5+60.4+184.8+172.3+16.1+13.5-164.2+155.7+143.9+51.2</f>
        <v>1760.7</v>
      </c>
      <c r="E153" s="24"/>
      <c r="F153" s="6">
        <f>D153/B153*100</f>
        <v>22.553414971563253</v>
      </c>
      <c r="G153" s="6">
        <f t="shared" si="21"/>
        <v>19.858340006541624</v>
      </c>
      <c r="H153" s="6">
        <f t="shared" si="23"/>
        <v>6046.1</v>
      </c>
      <c r="I153" s="6">
        <f t="shared" si="22"/>
        <v>7105.599999999999</v>
      </c>
    </row>
    <row r="154" spans="1:9" ht="19.5" thickBot="1">
      <c r="A154" s="14" t="s">
        <v>20</v>
      </c>
      <c r="B154" s="91">
        <f>B137+B145+B149+B150+B146+B153+B152+B147+B151+B148</f>
        <v>690422.9999999999</v>
      </c>
      <c r="C154" s="91">
        <f>C137+C145+C149+C150+C146+C153+C152+C147+C151+C148</f>
        <v>861085.9000000001</v>
      </c>
      <c r="D154" s="91">
        <f>D137+D145+D149+D150+D146+D153+D152+D147+D151+D148</f>
        <v>495049.1100000001</v>
      </c>
      <c r="E154" s="25"/>
      <c r="F154" s="3">
        <f>D154/B154*100</f>
        <v>71.70229120408796</v>
      </c>
      <c r="G154" s="3">
        <f t="shared" si="21"/>
        <v>57.491257260164176</v>
      </c>
      <c r="H154" s="3">
        <f>B154-D154</f>
        <v>195373.88999999978</v>
      </c>
      <c r="I154" s="3">
        <f t="shared" si="22"/>
        <v>366036.79000000004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28" sqref="R28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441850.21000000014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2" sqref="Q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30" sqref="P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2" sqref="S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7" sqref="Q2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P30" sqref="P3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1" sqref="R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441850.21000000014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2014-08-29T10:35:36Z</cp:lastPrinted>
  <dcterms:created xsi:type="dcterms:W3CDTF">2000-06-20T04:48:00Z</dcterms:created>
  <dcterms:modified xsi:type="dcterms:W3CDTF">2014-09-16T04:59:22Z</dcterms:modified>
  <cp:category/>
  <cp:version/>
  <cp:contentType/>
  <cp:contentStatus/>
</cp:coreProperties>
</file>